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embeddings/oleObject5.bin" ContentType="application/vnd.openxmlformats-officedocument.oleObject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embeddings/oleObject6.bin" ContentType="application/vnd.openxmlformats-officedocument.oleObject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lm\Desktop\"/>
    </mc:Choice>
  </mc:AlternateContent>
  <xr:revisionPtr revIDLastSave="0" documentId="8_{E0158356-BB66-4E6B-B07D-6F88110ED561}" xr6:coauthVersionLast="36" xr6:coauthVersionMax="36" xr10:uidLastSave="{00000000-0000-0000-0000-000000000000}"/>
  <bookViews>
    <workbookView xWindow="-120" yWindow="-120" windowWidth="29040" windowHeight="15840" tabRatio="655" xr2:uid="{00000000-000D-0000-FFFF-FFFF00000000}"/>
  </bookViews>
  <sheets>
    <sheet name="Deckblatt" sheetId="16" r:id="rId1"/>
    <sheet name="MDS (02.11.17)" sheetId="37" r:id="rId2"/>
    <sheet name="LGS (13.11.2017)" sheetId="38" r:id="rId3"/>
    <sheet name="Matrixmultiplikation (10.11.17)" sheetId="39" r:id="rId4"/>
    <sheet name="Inner Product Matrix (10.11.17)" sheetId="40" r:id="rId5"/>
    <sheet name="Inverse Matrix (17.11.17)" sheetId="41" r:id="rId6"/>
    <sheet name="Determinante (17.11.17)" sheetId="42" r:id="rId7"/>
    <sheet name="Eigenwertanalyse (17.11.17" sheetId="43" r:id="rId8"/>
    <sheet name="Faktorenanalyse (24.11.17)" sheetId="45" r:id="rId9"/>
    <sheet name="Kreuzproduktmatrizen (24.11.17)" sheetId="44" r:id="rId10"/>
    <sheet name="Mahalanobis Distanz (08.12.17)" sheetId="46" r:id="rId11"/>
    <sheet name="Univariate NV Prüf. (08.12.17)" sheetId="47" r:id="rId12"/>
    <sheet name="Multivariat NV Prüf. (08.12.17)" sheetId="48" r:id="rId13"/>
    <sheet name="Min. Dis. Classifier (15.12.17)" sheetId="50" r:id="rId14"/>
    <sheet name="Bayes Classifier (23.12.17)" sheetId="51" r:id="rId15"/>
    <sheet name="Quadratic Clas. Rule (10.01.18)" sheetId="52" r:id="rId16"/>
    <sheet name="MaxLikelihoodRatio (11.01.18)" sheetId="53" r:id="rId17"/>
    <sheet name="Diskriminanzan. 1 (19.01.18)" sheetId="54" r:id="rId18"/>
    <sheet name="Diskriminanzan. 1.2 (19.01.18)" sheetId="56" r:id="rId19"/>
    <sheet name="Diskriminanzan. 2 (26.01.18)" sheetId="55" r:id="rId20"/>
    <sheet name="Hotelling's T (08.02.18)" sheetId="57" r:id="rId21"/>
  </sheets>
  <definedNames>
    <definedName name="A_">'Matrixmultiplikation (10.11.17)'!$B$49:$D$51</definedName>
    <definedName name="B_">'Matrixmultiplikation (10.11.17)'!$F$49:$H$52</definedName>
    <definedName name="Cov_">'Mahalanobis Distanz (08.12.17)'!$G$32:$H$33</definedName>
    <definedName name="W_">'Inner Product Matrix (10.11.17)'!$B$11:$E$12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55" l="1"/>
  <c r="D39" i="55"/>
  <c r="C52" i="57"/>
  <c r="C103" i="57"/>
  <c r="C77" i="57"/>
  <c r="E33" i="57"/>
  <c r="D33" i="57"/>
  <c r="E32" i="57"/>
  <c r="D32" i="57"/>
  <c r="E31" i="57"/>
  <c r="D31" i="57"/>
  <c r="C33" i="57"/>
  <c r="C32" i="57"/>
  <c r="C110" i="57" a="1"/>
  <c r="C110" i="57" s="1"/>
  <c r="C31" i="57"/>
  <c r="C59" i="57" s="1" a="1"/>
  <c r="C59" i="57" s="1"/>
  <c r="E345" i="55"/>
  <c r="E346" i="55" s="1"/>
  <c r="D345" i="55"/>
  <c r="D346" i="55" s="1"/>
  <c r="D439" i="55"/>
  <c r="C439" i="55"/>
  <c r="F395" i="55"/>
  <c r="G395" i="55"/>
  <c r="H395" i="55"/>
  <c r="F396" i="55"/>
  <c r="G396" i="55"/>
  <c r="H396" i="55"/>
  <c r="F397" i="55"/>
  <c r="G397" i="55"/>
  <c r="H397" i="55"/>
  <c r="F398" i="55"/>
  <c r="G398" i="55"/>
  <c r="H398" i="55"/>
  <c r="F399" i="55"/>
  <c r="G399" i="55"/>
  <c r="H399" i="55"/>
  <c r="F400" i="55"/>
  <c r="G400" i="55"/>
  <c r="H400" i="55"/>
  <c r="F401" i="55"/>
  <c r="G401" i="55"/>
  <c r="H401" i="55"/>
  <c r="K401" i="55" s="1"/>
  <c r="F402" i="55"/>
  <c r="G402" i="55"/>
  <c r="H402" i="55"/>
  <c r="F403" i="55"/>
  <c r="G403" i="55"/>
  <c r="H403" i="55"/>
  <c r="F404" i="55"/>
  <c r="G404" i="55"/>
  <c r="H404" i="55"/>
  <c r="F405" i="55"/>
  <c r="G405" i="55"/>
  <c r="H405" i="55"/>
  <c r="F406" i="55"/>
  <c r="G406" i="55"/>
  <c r="H406" i="55"/>
  <c r="F407" i="55"/>
  <c r="G407" i="55"/>
  <c r="H407" i="55"/>
  <c r="F408" i="55"/>
  <c r="G408" i="55"/>
  <c r="H408" i="55"/>
  <c r="F409" i="55"/>
  <c r="G409" i="55"/>
  <c r="H409" i="55"/>
  <c r="J409" i="55" s="1"/>
  <c r="F410" i="55"/>
  <c r="G410" i="55"/>
  <c r="H410" i="55"/>
  <c r="F411" i="55"/>
  <c r="J411" i="55" s="1"/>
  <c r="G411" i="55"/>
  <c r="H411" i="55"/>
  <c r="H394" i="55"/>
  <c r="G394" i="55"/>
  <c r="F394" i="55"/>
  <c r="C91" i="56"/>
  <c r="C93" i="56" s="1" a="1"/>
  <c r="C93" i="54"/>
  <c r="D350" i="55" a="1"/>
  <c r="D351" i="55" s="1"/>
  <c r="E344" i="55"/>
  <c r="D344" i="55"/>
  <c r="E343" i="55"/>
  <c r="D343" i="55"/>
  <c r="D180" i="55"/>
  <c r="D197" i="55" s="1"/>
  <c r="D198" i="55" s="1"/>
  <c r="D199" i="55" s="1"/>
  <c r="C220" i="55" s="1"/>
  <c r="C180" i="55"/>
  <c r="E50" i="55"/>
  <c r="D50" i="55"/>
  <c r="D106" i="55" a="1"/>
  <c r="E49" i="55"/>
  <c r="E100" i="55" s="1" a="1"/>
  <c r="D49" i="55"/>
  <c r="D100" i="55" s="1" a="1"/>
  <c r="E48" i="55"/>
  <c r="E94" i="55" s="1" a="1"/>
  <c r="D48" i="55"/>
  <c r="D94" i="55" s="1" a="1"/>
  <c r="D99" i="55" s="1"/>
  <c r="C50" i="55"/>
  <c r="C106" i="55" a="1"/>
  <c r="C108" i="55" s="1"/>
  <c r="C49" i="55"/>
  <c r="C48" i="55"/>
  <c r="E38" i="55"/>
  <c r="D38" i="55"/>
  <c r="E37" i="55"/>
  <c r="D37" i="55"/>
  <c r="C38" i="55"/>
  <c r="C39" i="55"/>
  <c r="C37" i="55"/>
  <c r="C41" i="55"/>
  <c r="C40" i="55"/>
  <c r="B170" i="56"/>
  <c r="B174" i="56"/>
  <c r="B47" i="56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D43" i="56"/>
  <c r="C43" i="56"/>
  <c r="D42" i="56"/>
  <c r="D65" i="56" s="1"/>
  <c r="D78" i="56" s="1"/>
  <c r="C42" i="56"/>
  <c r="D41" i="56"/>
  <c r="C41" i="56"/>
  <c r="B11" i="56"/>
  <c r="B12" i="56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/>
  <c r="B29" i="56" s="1"/>
  <c r="B222" i="54"/>
  <c r="B223" i="54" s="1"/>
  <c r="B224" i="54" s="1"/>
  <c r="B225" i="54" s="1"/>
  <c r="B226" i="54" s="1"/>
  <c r="B227" i="54" s="1"/>
  <c r="B228" i="54" s="1"/>
  <c r="B229" i="54" s="1"/>
  <c r="B230" i="54" s="1"/>
  <c r="C169" i="54"/>
  <c r="C200" i="54" s="1"/>
  <c r="C170" i="54"/>
  <c r="B156" i="54"/>
  <c r="B157" i="54" s="1"/>
  <c r="B158" i="54"/>
  <c r="B159" i="54" s="1"/>
  <c r="B160" i="54" s="1"/>
  <c r="B161" i="54" s="1"/>
  <c r="B162" i="54" s="1"/>
  <c r="B163" i="54" s="1"/>
  <c r="B164" i="54" s="1"/>
  <c r="B103" i="54"/>
  <c r="C94" i="54"/>
  <c r="B47" i="54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D42" i="54"/>
  <c r="D56" i="54" s="1"/>
  <c r="D59" i="54"/>
  <c r="D43" i="54"/>
  <c r="D46" i="54" s="1"/>
  <c r="C43" i="54"/>
  <c r="C42" i="54"/>
  <c r="C65" i="54" s="1"/>
  <c r="D41" i="54"/>
  <c r="C41" i="54"/>
  <c r="B274" i="53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113" i="53"/>
  <c r="B114" i="53"/>
  <c r="C114" i="53" s="1"/>
  <c r="C112" i="53"/>
  <c r="B11" i="54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C113" i="53"/>
  <c r="E113" i="53" s="1"/>
  <c r="E34" i="53"/>
  <c r="E54" i="53" s="1"/>
  <c r="C63" i="53" s="1"/>
  <c r="D34" i="53"/>
  <c r="D54" i="53" s="1"/>
  <c r="C64" i="53" s="1"/>
  <c r="D254" i="52"/>
  <c r="E254" i="52"/>
  <c r="C254" i="52"/>
  <c r="A506" i="52"/>
  <c r="B505" i="52"/>
  <c r="D451" i="52"/>
  <c r="D435" i="52"/>
  <c r="D442" i="52" s="1"/>
  <c r="B328" i="52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B347" i="52" s="1"/>
  <c r="B348" i="52" s="1"/>
  <c r="B349" i="52" s="1"/>
  <c r="B350" i="52" s="1"/>
  <c r="B351" i="52" s="1"/>
  <c r="B352" i="52" s="1"/>
  <c r="B353" i="52" s="1"/>
  <c r="B354" i="52" s="1"/>
  <c r="B355" i="52" s="1"/>
  <c r="B356" i="52" s="1"/>
  <c r="B357" i="52" s="1"/>
  <c r="B358" i="52" s="1"/>
  <c r="B359" i="52" s="1"/>
  <c r="B360" i="52" s="1"/>
  <c r="B361" i="52" s="1"/>
  <c r="B362" i="52" s="1"/>
  <c r="B363" i="52" s="1"/>
  <c r="B364" i="52" s="1"/>
  <c r="B365" i="52" s="1"/>
  <c r="B366" i="52" s="1"/>
  <c r="B367" i="52" s="1"/>
  <c r="B368" i="52" s="1"/>
  <c r="B369" i="52" s="1"/>
  <c r="B370" i="52" s="1"/>
  <c r="B371" i="52" s="1"/>
  <c r="B372" i="52" s="1"/>
  <c r="B373" i="52" s="1"/>
  <c r="B374" i="52" s="1"/>
  <c r="B375" i="52" s="1"/>
  <c r="B376" i="52" s="1"/>
  <c r="B377" i="52" s="1"/>
  <c r="B378" i="52" s="1"/>
  <c r="B379" i="52" s="1"/>
  <c r="B380" i="52" s="1"/>
  <c r="B381" i="52" s="1"/>
  <c r="B382" i="52" s="1"/>
  <c r="B383" i="52" s="1"/>
  <c r="B264" i="52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188" i="52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C178" i="52"/>
  <c r="C175" i="52"/>
  <c r="C172" i="52"/>
  <c r="D157" i="52"/>
  <c r="C157" i="52"/>
  <c r="D156" i="52"/>
  <c r="C156" i="52"/>
  <c r="D155" i="52"/>
  <c r="C155" i="52"/>
  <c r="B92" i="52"/>
  <c r="B93" i="52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D83" i="52"/>
  <c r="D133" i="52" s="1"/>
  <c r="C83" i="52"/>
  <c r="D82" i="52"/>
  <c r="C82" i="52"/>
  <c r="B17" i="52"/>
  <c r="B18" i="52" s="1"/>
  <c r="B19" i="52" s="1"/>
  <c r="B20" i="52" s="1"/>
  <c r="B21" i="52" s="1"/>
  <c r="B22" i="52" s="1"/>
  <c r="B23" i="52" s="1"/>
  <c r="B24" i="52" s="1"/>
  <c r="B25" i="52" s="1"/>
  <c r="B26" i="52" s="1"/>
  <c r="B27" i="52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C13" i="52"/>
  <c r="B501" i="52" s="1"/>
  <c r="B325" i="5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B347" i="51" s="1"/>
  <c r="B348" i="51" s="1"/>
  <c r="B349" i="51" s="1"/>
  <c r="B350" i="51" s="1"/>
  <c r="B351" i="51" s="1"/>
  <c r="B352" i="51" s="1"/>
  <c r="B353" i="51" s="1"/>
  <c r="B354" i="51" s="1"/>
  <c r="B355" i="51" s="1"/>
  <c r="B356" i="51" s="1"/>
  <c r="B357" i="51" s="1"/>
  <c r="B358" i="51" s="1"/>
  <c r="B359" i="51" s="1"/>
  <c r="B360" i="51" s="1"/>
  <c r="B361" i="51" s="1"/>
  <c r="B362" i="51" s="1"/>
  <c r="B363" i="51" s="1"/>
  <c r="B364" i="51" s="1"/>
  <c r="B365" i="51" s="1"/>
  <c r="B366" i="51" s="1"/>
  <c r="B367" i="51" s="1"/>
  <c r="B368" i="51" s="1"/>
  <c r="B369" i="51" s="1"/>
  <c r="B370" i="51" s="1"/>
  <c r="B371" i="51" s="1"/>
  <c r="B372" i="51" s="1"/>
  <c r="B373" i="51" s="1"/>
  <c r="B374" i="51" s="1"/>
  <c r="B375" i="51" s="1"/>
  <c r="B376" i="51" s="1"/>
  <c r="B377" i="51" s="1"/>
  <c r="B378" i="51" s="1"/>
  <c r="B379" i="51" s="1"/>
  <c r="B380" i="51" s="1"/>
  <c r="B251" i="5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A567" i="51"/>
  <c r="B566" i="51"/>
  <c r="D512" i="51"/>
  <c r="D496" i="51"/>
  <c r="D503" i="51" s="1"/>
  <c r="B389" i="51"/>
  <c r="B390" i="51"/>
  <c r="B391" i="51" s="1"/>
  <c r="B392" i="51" s="1"/>
  <c r="B393" i="51" s="1"/>
  <c r="B394" i="51" s="1"/>
  <c r="B395" i="51" s="1"/>
  <c r="B396" i="51" s="1"/>
  <c r="B397" i="51" s="1"/>
  <c r="B398" i="51" s="1"/>
  <c r="B399" i="51" s="1"/>
  <c r="B400" i="51" s="1"/>
  <c r="B401" i="51" s="1"/>
  <c r="B402" i="51" s="1"/>
  <c r="B403" i="51" s="1"/>
  <c r="B404" i="51" s="1"/>
  <c r="B405" i="51" s="1"/>
  <c r="B406" i="51" s="1"/>
  <c r="B407" i="51" s="1"/>
  <c r="B408" i="51" s="1"/>
  <c r="B409" i="51" s="1"/>
  <c r="B410" i="51" s="1"/>
  <c r="B411" i="51" s="1"/>
  <c r="B186" i="51"/>
  <c r="B187" i="5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C176" i="51"/>
  <c r="C173" i="51"/>
  <c r="C170" i="51"/>
  <c r="D155" i="51"/>
  <c r="C155" i="51"/>
  <c r="D154" i="51"/>
  <c r="C154" i="51"/>
  <c r="D153" i="51"/>
  <c r="C153" i="51"/>
  <c r="B90" i="5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D81" i="51"/>
  <c r="C81" i="51"/>
  <c r="D80" i="51"/>
  <c r="C80" i="51"/>
  <c r="B15" i="5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C11" i="51"/>
  <c r="B562" i="51" s="1"/>
  <c r="C161" i="50"/>
  <c r="B258" i="50"/>
  <c r="B259" i="50" s="1"/>
  <c r="B260" i="50" s="1"/>
  <c r="B261" i="50" s="1"/>
  <c r="B262" i="50" s="1"/>
  <c r="B194" i="50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C184" i="50"/>
  <c r="C181" i="50"/>
  <c r="C178" i="50"/>
  <c r="B98" i="50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A436" i="50"/>
  <c r="B435" i="50"/>
  <c r="B23" i="50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D89" i="50"/>
  <c r="C89" i="50"/>
  <c r="D88" i="50"/>
  <c r="C88" i="50"/>
  <c r="D163" i="50"/>
  <c r="C163" i="50"/>
  <c r="D162" i="50"/>
  <c r="C162" i="50"/>
  <c r="D161" i="50"/>
  <c r="D381" i="50"/>
  <c r="C19" i="50"/>
  <c r="B431" i="50" s="1"/>
  <c r="D365" i="50"/>
  <c r="D372" i="50" s="1"/>
  <c r="B275" i="48"/>
  <c r="B276" i="48" s="1"/>
  <c r="B277" i="48" s="1"/>
  <c r="B278" i="48" s="1"/>
  <c r="B279" i="48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238" i="48"/>
  <c r="B239" i="48" s="1"/>
  <c r="B240" i="48"/>
  <c r="B241" i="48" s="1"/>
  <c r="B242" i="48" s="1"/>
  <c r="B243" i="48" s="1"/>
  <c r="B244" i="48" s="1"/>
  <c r="B245" i="48" s="1"/>
  <c r="B246" i="48" s="1"/>
  <c r="B247" i="48" s="1"/>
  <c r="B248" i="48" s="1"/>
  <c r="B249" i="48" s="1"/>
  <c r="H149" i="48"/>
  <c r="H150" i="48" s="1"/>
  <c r="H151" i="48" s="1"/>
  <c r="H152" i="48" s="1"/>
  <c r="H153" i="48" s="1"/>
  <c r="H154" i="48" s="1"/>
  <c r="H155" i="48" s="1"/>
  <c r="H156" i="48" s="1"/>
  <c r="H157" i="48" s="1"/>
  <c r="H158" i="48" s="1"/>
  <c r="H159" i="48" s="1"/>
  <c r="H160" i="48" s="1"/>
  <c r="H161" i="48" s="1"/>
  <c r="H162" i="48" s="1"/>
  <c r="H163" i="48" s="1"/>
  <c r="H164" i="48" s="1"/>
  <c r="H165" i="48" s="1"/>
  <c r="H166" i="48" s="1"/>
  <c r="H167" i="48" s="1"/>
  <c r="H168" i="48" s="1"/>
  <c r="H169" i="48" s="1"/>
  <c r="H170" i="48" s="1"/>
  <c r="H171" i="48" s="1"/>
  <c r="H172" i="48" s="1"/>
  <c r="H173" i="48" s="1"/>
  <c r="H174" i="48" s="1"/>
  <c r="H175" i="48" s="1"/>
  <c r="H176" i="48" s="1"/>
  <c r="H177" i="48" s="1"/>
  <c r="B149" i="48"/>
  <c r="B150" i="48" s="1"/>
  <c r="B151" i="48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F56" i="48"/>
  <c r="E56" i="48"/>
  <c r="D56" i="48"/>
  <c r="C56" i="48"/>
  <c r="C104" i="48" a="1"/>
  <c r="D106" i="48" s="1"/>
  <c r="B65" i="48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F55" i="48"/>
  <c r="E55" i="48"/>
  <c r="C124" i="48" s="1" a="1"/>
  <c r="D55" i="48"/>
  <c r="C55" i="48"/>
  <c r="F54" i="48"/>
  <c r="F90" i="48" s="1"/>
  <c r="E54" i="48"/>
  <c r="D54" i="48"/>
  <c r="D93" i="48" s="1"/>
  <c r="C54" i="48"/>
  <c r="B16" i="48"/>
  <c r="B17" i="48" s="1"/>
  <c r="B18" i="48" s="1"/>
  <c r="B19" i="48" s="1"/>
  <c r="B20" i="48" s="1"/>
  <c r="B21" i="48" s="1"/>
  <c r="B22" i="48" s="1"/>
  <c r="B23" i="48" s="1"/>
  <c r="B24" i="48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C173" i="47"/>
  <c r="C86" i="47"/>
  <c r="C85" i="47"/>
  <c r="L43" i="46"/>
  <c r="K44" i="46" s="1"/>
  <c r="G44" i="46"/>
  <c r="G45" i="46" s="1"/>
  <c r="C44" i="46"/>
  <c r="H31" i="46"/>
  <c r="H21" i="46"/>
  <c r="B659" i="45"/>
  <c r="B660" i="45" s="1"/>
  <c r="B661" i="45" s="1"/>
  <c r="B662" i="45" s="1"/>
  <c r="B663" i="45" s="1"/>
  <c r="B664" i="45" s="1"/>
  <c r="B665" i="45" s="1"/>
  <c r="B666" i="45" s="1"/>
  <c r="B667" i="45" s="1"/>
  <c r="B668" i="45" s="1"/>
  <c r="B669" i="45" s="1"/>
  <c r="B670" i="45" s="1"/>
  <c r="B671" i="45" s="1"/>
  <c r="B672" i="45" s="1"/>
  <c r="B673" i="45" s="1"/>
  <c r="B674" i="45" s="1"/>
  <c r="B675" i="45" s="1"/>
  <c r="B676" i="45" s="1"/>
  <c r="B677" i="45" s="1"/>
  <c r="B678" i="45" s="1"/>
  <c r="B679" i="45" s="1"/>
  <c r="B680" i="45" s="1"/>
  <c r="B681" i="45" s="1"/>
  <c r="B682" i="45" s="1"/>
  <c r="B683" i="45" s="1"/>
  <c r="B684" i="45" s="1"/>
  <c r="B685" i="45" s="1"/>
  <c r="B686" i="45" s="1"/>
  <c r="B687" i="45" s="1"/>
  <c r="B602" i="45"/>
  <c r="B603" i="45"/>
  <c r="B604" i="45" s="1"/>
  <c r="B605" i="45" s="1"/>
  <c r="B606" i="45" s="1"/>
  <c r="B607" i="45" s="1"/>
  <c r="B608" i="45" s="1"/>
  <c r="B609" i="45" s="1"/>
  <c r="B610" i="45" s="1"/>
  <c r="B611" i="45" s="1"/>
  <c r="B612" i="45" s="1"/>
  <c r="B613" i="45" s="1"/>
  <c r="B614" i="45" s="1"/>
  <c r="B615" i="45" s="1"/>
  <c r="B616" i="45" s="1"/>
  <c r="B617" i="45" s="1"/>
  <c r="B618" i="45" s="1"/>
  <c r="B619" i="45" s="1"/>
  <c r="B620" i="45" s="1"/>
  <c r="B621" i="45" s="1"/>
  <c r="B622" i="45" s="1"/>
  <c r="B623" i="45" s="1"/>
  <c r="B624" i="45" s="1"/>
  <c r="B625" i="45" s="1"/>
  <c r="B626" i="45" s="1"/>
  <c r="B627" i="45" s="1"/>
  <c r="B628" i="45" s="1"/>
  <c r="B629" i="45" s="1"/>
  <c r="B630" i="45" s="1"/>
  <c r="E570" i="45"/>
  <c r="E571" i="45"/>
  <c r="D549" i="45"/>
  <c r="C550" i="45" s="1"/>
  <c r="C549" i="45"/>
  <c r="E505" i="45"/>
  <c r="E506" i="45" s="1"/>
  <c r="E503" i="45"/>
  <c r="E502" i="45"/>
  <c r="E501" i="45"/>
  <c r="E500" i="45"/>
  <c r="E499" i="45"/>
  <c r="E498" i="45"/>
  <c r="E497" i="45"/>
  <c r="E496" i="45"/>
  <c r="E495" i="45"/>
  <c r="E494" i="45"/>
  <c r="C390" i="45" a="1"/>
  <c r="D382" i="45"/>
  <c r="C382" i="45"/>
  <c r="E381" i="45"/>
  <c r="E382" i="45"/>
  <c r="E379" i="45"/>
  <c r="E378" i="45"/>
  <c r="E377" i="45"/>
  <c r="E376" i="45"/>
  <c r="E375" i="45"/>
  <c r="E374" i="45"/>
  <c r="E373" i="45"/>
  <c r="E372" i="45"/>
  <c r="E371" i="45"/>
  <c r="E370" i="45"/>
  <c r="C66" i="44" a="1"/>
  <c r="J66" i="44" s="1"/>
  <c r="C229" i="45" a="1"/>
  <c r="M216" i="45"/>
  <c r="M215" i="45"/>
  <c r="M213" i="45"/>
  <c r="M212" i="45"/>
  <c r="M211" i="45"/>
  <c r="M210" i="45"/>
  <c r="M209" i="45"/>
  <c r="M208" i="45"/>
  <c r="M207" i="45"/>
  <c r="M206" i="45"/>
  <c r="M205" i="45"/>
  <c r="M204" i="45"/>
  <c r="C161" i="45"/>
  <c r="L54" i="44"/>
  <c r="K54" i="44"/>
  <c r="J54" i="44"/>
  <c r="I54" i="44"/>
  <c r="H54" i="44"/>
  <c r="G54" i="44"/>
  <c r="F54" i="44"/>
  <c r="E54" i="44"/>
  <c r="D54" i="44"/>
  <c r="C54" i="44"/>
  <c r="L53" i="44"/>
  <c r="K53" i="44"/>
  <c r="J53" i="44"/>
  <c r="I53" i="44"/>
  <c r="H53" i="44"/>
  <c r="G53" i="44"/>
  <c r="F53" i="44"/>
  <c r="E53" i="44"/>
  <c r="D53" i="44"/>
  <c r="C53" i="44"/>
  <c r="L52" i="44"/>
  <c r="K52" i="44"/>
  <c r="J52" i="44"/>
  <c r="I52" i="44"/>
  <c r="H52" i="44"/>
  <c r="G52" i="44"/>
  <c r="F52" i="44"/>
  <c r="E52" i="44"/>
  <c r="C87" i="44" s="1" a="1"/>
  <c r="D52" i="44"/>
  <c r="C52" i="44"/>
  <c r="B11" i="44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61" i="45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D52" i="45"/>
  <c r="E52" i="45"/>
  <c r="F52" i="45"/>
  <c r="G52" i="45"/>
  <c r="H52" i="45"/>
  <c r="I52" i="45"/>
  <c r="J52" i="45"/>
  <c r="K52" i="45"/>
  <c r="L52" i="45"/>
  <c r="C52" i="45"/>
  <c r="D51" i="45"/>
  <c r="D74" i="45" s="1"/>
  <c r="E51" i="45"/>
  <c r="F51" i="45"/>
  <c r="G51" i="45"/>
  <c r="H51" i="45"/>
  <c r="I51" i="45"/>
  <c r="J51" i="45"/>
  <c r="K51" i="45"/>
  <c r="L51" i="45"/>
  <c r="C51" i="45"/>
  <c r="C68" i="45" s="1"/>
  <c r="L50" i="45"/>
  <c r="K50" i="45"/>
  <c r="K67" i="45" s="1"/>
  <c r="J50" i="45"/>
  <c r="I50" i="45"/>
  <c r="I75" i="45" s="1"/>
  <c r="H50" i="45"/>
  <c r="G50" i="45"/>
  <c r="G89" i="45" s="1"/>
  <c r="F50" i="45"/>
  <c r="E50" i="45"/>
  <c r="D50" i="45"/>
  <c r="C50" i="45"/>
  <c r="B11" i="45"/>
  <c r="B12" i="45" s="1"/>
  <c r="C185" i="43" a="1"/>
  <c r="G185" i="43" s="1"/>
  <c r="G67" i="43"/>
  <c r="F67" i="43"/>
  <c r="E67" i="43"/>
  <c r="E109" i="43" s="1"/>
  <c r="D67" i="43"/>
  <c r="G66" i="43"/>
  <c r="G81" i="43"/>
  <c r="F66" i="43"/>
  <c r="F103" i="43" s="1"/>
  <c r="E66" i="43"/>
  <c r="D66" i="43"/>
  <c r="C67" i="43"/>
  <c r="C66" i="43"/>
  <c r="E47" i="42" a="1"/>
  <c r="E47" i="42" s="1"/>
  <c r="D30" i="42" a="1"/>
  <c r="D30" i="42" s="1"/>
  <c r="F27" i="42" a="1"/>
  <c r="G28" i="42" s="1"/>
  <c r="G65" i="41" a="1"/>
  <c r="F32" i="41" a="1"/>
  <c r="H33" i="41" s="1"/>
  <c r="B46" i="40" a="1"/>
  <c r="B47" i="40" s="1"/>
  <c r="B28" i="40" a="1"/>
  <c r="C29" i="40"/>
  <c r="G11" i="40" a="1"/>
  <c r="B74" i="39" a="1"/>
  <c r="C74" i="39" s="1"/>
  <c r="B60" i="39" a="1"/>
  <c r="J49" i="39" a="1"/>
  <c r="K50" i="39" s="1"/>
  <c r="I32" i="39" a="1"/>
  <c r="J33" i="39" s="1"/>
  <c r="E116" i="38"/>
  <c r="E115" i="38"/>
  <c r="B111" i="38" a="1"/>
  <c r="B111" i="38" s="1"/>
  <c r="B110" i="38" a="1"/>
  <c r="B110" i="38" s="1"/>
  <c r="B116" i="38" s="1"/>
  <c r="D109" i="38"/>
  <c r="D115" i="38" s="1"/>
  <c r="C109" i="38"/>
  <c r="C115" i="38" s="1"/>
  <c r="B109" i="38"/>
  <c r="B115" i="38" s="1"/>
  <c r="B91" i="38" a="1"/>
  <c r="C91" i="38"/>
  <c r="B90" i="38" a="1"/>
  <c r="D89" i="38"/>
  <c r="C89" i="38"/>
  <c r="B89" i="38"/>
  <c r="B67" i="38"/>
  <c r="B73" i="38" s="1"/>
  <c r="C67" i="38"/>
  <c r="C73" i="38"/>
  <c r="D67" i="38"/>
  <c r="D73" i="38" s="1"/>
  <c r="B68" i="38" a="1"/>
  <c r="B69" i="38" a="1"/>
  <c r="D69" i="38" s="1"/>
  <c r="E73" i="38"/>
  <c r="E74" i="38"/>
  <c r="C207" i="37"/>
  <c r="H83" i="37"/>
  <c r="G83" i="37"/>
  <c r="F83" i="37"/>
  <c r="E83" i="37"/>
  <c r="D83" i="37"/>
  <c r="C83" i="37"/>
  <c r="H82" i="37"/>
  <c r="G82" i="37"/>
  <c r="F82" i="37"/>
  <c r="E82" i="37"/>
  <c r="D82" i="37"/>
  <c r="C82" i="37"/>
  <c r="H81" i="37"/>
  <c r="G81" i="37"/>
  <c r="F81" i="37"/>
  <c r="E81" i="37"/>
  <c r="D81" i="37"/>
  <c r="C81" i="37"/>
  <c r="H80" i="37"/>
  <c r="G80" i="37"/>
  <c r="F80" i="37"/>
  <c r="E80" i="37"/>
  <c r="D80" i="37"/>
  <c r="C80" i="37"/>
  <c r="H79" i="37"/>
  <c r="G79" i="37"/>
  <c r="F79" i="37"/>
  <c r="E79" i="37"/>
  <c r="D79" i="37"/>
  <c r="C79" i="37"/>
  <c r="H78" i="37"/>
  <c r="G78" i="37"/>
  <c r="F78" i="37"/>
  <c r="E78" i="37"/>
  <c r="D78" i="37"/>
  <c r="C78" i="37"/>
  <c r="G43" i="42" a="1"/>
  <c r="D47" i="40"/>
  <c r="H34" i="41"/>
  <c r="G88" i="43"/>
  <c r="G94" i="43"/>
  <c r="G14" i="40"/>
  <c r="G80" i="43"/>
  <c r="G89" i="43"/>
  <c r="D96" i="43"/>
  <c r="K67" i="44"/>
  <c r="K80" i="45"/>
  <c r="F27" i="42"/>
  <c r="D88" i="43"/>
  <c r="J398" i="45"/>
  <c r="F396" i="45"/>
  <c r="F394" i="45"/>
  <c r="H393" i="45"/>
  <c r="F390" i="45"/>
  <c r="K399" i="45"/>
  <c r="G399" i="45"/>
  <c r="K397" i="45"/>
  <c r="C397" i="45"/>
  <c r="E396" i="45"/>
  <c r="G395" i="45"/>
  <c r="C395" i="45"/>
  <c r="K393" i="45"/>
  <c r="G393" i="45"/>
  <c r="K391" i="45"/>
  <c r="G391" i="45"/>
  <c r="I390" i="45"/>
  <c r="D399" i="45"/>
  <c r="L397" i="45"/>
  <c r="L395" i="45"/>
  <c r="J399" i="45"/>
  <c r="L398" i="45"/>
  <c r="D398" i="45"/>
  <c r="J397" i="45"/>
  <c r="F397" i="45"/>
  <c r="H396" i="45"/>
  <c r="D396" i="45"/>
  <c r="J395" i="45"/>
  <c r="H394" i="45"/>
  <c r="D394" i="45"/>
  <c r="F393" i="45"/>
  <c r="L392" i="45"/>
  <c r="H392" i="45"/>
  <c r="J391" i="45"/>
  <c r="F391" i="45"/>
  <c r="D390" i="45"/>
  <c r="L399" i="45"/>
  <c r="F398" i="45"/>
  <c r="J396" i="45"/>
  <c r="H395" i="45"/>
  <c r="J394" i="45"/>
  <c r="D393" i="45"/>
  <c r="H391" i="45"/>
  <c r="I399" i="45"/>
  <c r="E399" i="45"/>
  <c r="K398" i="45"/>
  <c r="C398" i="45"/>
  <c r="I397" i="45"/>
  <c r="E397" i="45"/>
  <c r="C396" i="45"/>
  <c r="I395" i="45"/>
  <c r="K394" i="45"/>
  <c r="G394" i="45"/>
  <c r="C394" i="45"/>
  <c r="E393" i="45"/>
  <c r="K392" i="45"/>
  <c r="I391" i="45"/>
  <c r="E391" i="45"/>
  <c r="K390" i="45"/>
  <c r="K88" i="45"/>
  <c r="E60" i="45"/>
  <c r="D91" i="38"/>
  <c r="B29" i="40"/>
  <c r="E48" i="40"/>
  <c r="C28" i="40"/>
  <c r="G108" i="43"/>
  <c r="G96" i="43"/>
  <c r="G104" i="43"/>
  <c r="G85" i="43"/>
  <c r="G83" i="43"/>
  <c r="G109" i="43"/>
  <c r="G105" i="43"/>
  <c r="B48" i="40"/>
  <c r="B49" i="40"/>
  <c r="L77" i="45"/>
  <c r="K66" i="45"/>
  <c r="H70" i="45"/>
  <c r="H68" i="45"/>
  <c r="H86" i="45"/>
  <c r="H79" i="45"/>
  <c r="H88" i="45"/>
  <c r="H83" i="45"/>
  <c r="H78" i="45"/>
  <c r="L76" i="45"/>
  <c r="F66" i="45"/>
  <c r="F88" i="45"/>
  <c r="H82" i="45"/>
  <c r="L85" i="45"/>
  <c r="J61" i="45"/>
  <c r="H81" i="45"/>
  <c r="H87" i="45"/>
  <c r="G73" i="45"/>
  <c r="G85" i="45"/>
  <c r="G65" i="45"/>
  <c r="K89" i="45"/>
  <c r="K60" i="45"/>
  <c r="K85" i="45"/>
  <c r="K79" i="45"/>
  <c r="H233" i="45"/>
  <c r="C69" i="38"/>
  <c r="J45" i="42"/>
  <c r="C47" i="40"/>
  <c r="J62" i="45"/>
  <c r="J79" i="45"/>
  <c r="L72" i="44"/>
  <c r="I72" i="44"/>
  <c r="C73" i="44"/>
  <c r="C91" i="43"/>
  <c r="D111" i="38"/>
  <c r="C83" i="43"/>
  <c r="J69" i="44"/>
  <c r="K73" i="44"/>
  <c r="L86" i="45"/>
  <c r="G71" i="45"/>
  <c r="G66" i="45"/>
  <c r="H13" i="40"/>
  <c r="D109" i="43"/>
  <c r="G29" i="42"/>
  <c r="G97" i="43"/>
  <c r="C85" i="43"/>
  <c r="G27" i="42"/>
  <c r="H28" i="42"/>
  <c r="K63" i="45"/>
  <c r="C120" i="47"/>
  <c r="C109" i="47"/>
  <c r="D48" i="40"/>
  <c r="G84" i="43"/>
  <c r="G92" i="43"/>
  <c r="C390" i="45"/>
  <c r="D395" i="45"/>
  <c r="L391" i="45"/>
  <c r="C399" i="45"/>
  <c r="K395" i="45"/>
  <c r="E394" i="45"/>
  <c r="I392" i="45"/>
  <c r="C105" i="47"/>
  <c r="C111" i="47"/>
  <c r="C116" i="47"/>
  <c r="C127" i="47"/>
  <c r="C101" i="47"/>
  <c r="C107" i="47"/>
  <c r="C117" i="47"/>
  <c r="C123" i="47"/>
  <c r="C98" i="47"/>
  <c r="C108" i="47"/>
  <c r="C109" i="43"/>
  <c r="C99" i="43"/>
  <c r="D100" i="43"/>
  <c r="D105" i="43"/>
  <c r="D92" i="43"/>
  <c r="C125" i="47"/>
  <c r="C104" i="47"/>
  <c r="C164" i="47"/>
  <c r="C206" i="47"/>
  <c r="C153" i="47"/>
  <c r="C195" i="47"/>
  <c r="F91" i="48"/>
  <c r="F87" i="48"/>
  <c r="F83" i="48"/>
  <c r="F79" i="48"/>
  <c r="F92" i="48"/>
  <c r="F88" i="48"/>
  <c r="F84" i="48"/>
  <c r="F80" i="48"/>
  <c r="F93" i="48"/>
  <c r="F89" i="48"/>
  <c r="F85" i="48"/>
  <c r="F81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96" i="48" s="1"/>
  <c r="F65" i="48"/>
  <c r="F64" i="48"/>
  <c r="F78" i="48"/>
  <c r="F82" i="48"/>
  <c r="C147" i="47"/>
  <c r="C189" i="47"/>
  <c r="C155" i="47"/>
  <c r="C197" i="47"/>
  <c r="C163" i="47"/>
  <c r="C205" i="47"/>
  <c r="C171" i="47"/>
  <c r="C213" i="47"/>
  <c r="C162" i="47"/>
  <c r="C204" i="47"/>
  <c r="C152" i="47"/>
  <c r="C194" i="47"/>
  <c r="C93" i="48"/>
  <c r="C89" i="48"/>
  <c r="C81" i="48"/>
  <c r="C110" i="48" a="1"/>
  <c r="C90" i="48"/>
  <c r="C82" i="48"/>
  <c r="C78" i="48"/>
  <c r="C77" i="48"/>
  <c r="C75" i="48"/>
  <c r="C74" i="48"/>
  <c r="C73" i="48"/>
  <c r="C71" i="48"/>
  <c r="C70" i="48"/>
  <c r="C69" i="48"/>
  <c r="C67" i="48"/>
  <c r="C66" i="48"/>
  <c r="C65" i="48"/>
  <c r="C91" i="48"/>
  <c r="C87" i="48"/>
  <c r="C83" i="48"/>
  <c r="C84" i="48"/>
  <c r="C88" i="48"/>
  <c r="F86" i="48"/>
  <c r="C142" i="47"/>
  <c r="C184" i="47" s="1"/>
  <c r="C161" i="47"/>
  <c r="C203" i="47" s="1"/>
  <c r="C150" i="47"/>
  <c r="C192" i="47" s="1"/>
  <c r="C80" i="48"/>
  <c r="C126" i="47"/>
  <c r="C118" i="47"/>
  <c r="C114" i="47"/>
  <c r="C110" i="47"/>
  <c r="E93" i="48"/>
  <c r="D84" i="48"/>
  <c r="D88" i="48"/>
  <c r="D92" i="48"/>
  <c r="F106" i="48"/>
  <c r="D79" i="48"/>
  <c r="D83" i="48"/>
  <c r="D87" i="48"/>
  <c r="F104" i="48"/>
  <c r="D64" i="48"/>
  <c r="D65" i="48"/>
  <c r="D67" i="48"/>
  <c r="D68" i="48"/>
  <c r="D69" i="48"/>
  <c r="D71" i="48"/>
  <c r="D72" i="48"/>
  <c r="D73" i="48"/>
  <c r="D75" i="48"/>
  <c r="D76" i="48"/>
  <c r="D77" i="48"/>
  <c r="D82" i="48"/>
  <c r="D86" i="48"/>
  <c r="C104" i="48"/>
  <c r="F32" i="41"/>
  <c r="E75" i="39"/>
  <c r="G33" i="41"/>
  <c r="F33" i="41"/>
  <c r="H69" i="45"/>
  <c r="H62" i="45"/>
  <c r="B74" i="39"/>
  <c r="H32" i="41"/>
  <c r="G99" i="43"/>
  <c r="G86" i="43"/>
  <c r="G102" i="43"/>
  <c r="G100" i="43"/>
  <c r="D75" i="39"/>
  <c r="H46" i="42"/>
  <c r="G34" i="41"/>
  <c r="F34" i="41"/>
  <c r="G32" i="41"/>
  <c r="C76" i="39"/>
  <c r="C107" i="48"/>
  <c r="E106" i="48"/>
  <c r="D89" i="48"/>
  <c r="E49" i="40"/>
  <c r="B28" i="40"/>
  <c r="K233" i="45"/>
  <c r="E105" i="48"/>
  <c r="E107" i="48"/>
  <c r="D104" i="48"/>
  <c r="C124" i="47"/>
  <c r="F107" i="48"/>
  <c r="D105" i="48"/>
  <c r="C169" i="47"/>
  <c r="C211" i="47" s="1"/>
  <c r="C149" i="47"/>
  <c r="C191" i="47" s="1"/>
  <c r="F105" i="48"/>
  <c r="C105" i="48"/>
  <c r="D107" i="48"/>
  <c r="D90" i="48"/>
  <c r="D81" i="48"/>
  <c r="C106" i="48"/>
  <c r="D153" i="50"/>
  <c r="D110" i="50"/>
  <c r="D118" i="50"/>
  <c r="D142" i="50"/>
  <c r="D150" i="50"/>
  <c r="D104" i="50"/>
  <c r="D128" i="50"/>
  <c r="D136" i="50"/>
  <c r="D152" i="50"/>
  <c r="D105" i="50"/>
  <c r="D121" i="50"/>
  <c r="D129" i="50"/>
  <c r="D101" i="50"/>
  <c r="D109" i="50"/>
  <c r="D117" i="50"/>
  <c r="D141" i="50"/>
  <c r="D149" i="50"/>
  <c r="D124" i="50"/>
  <c r="D111" i="50"/>
  <c r="D143" i="50"/>
  <c r="D98" i="50"/>
  <c r="D146" i="50"/>
  <c r="D99" i="50"/>
  <c r="D115" i="50"/>
  <c r="D100" i="50"/>
  <c r="D116" i="50"/>
  <c r="D148" i="50"/>
  <c r="D123" i="50"/>
  <c r="D103" i="50"/>
  <c r="D106" i="50"/>
  <c r="D151" i="50"/>
  <c r="D138" i="50"/>
  <c r="D135" i="50"/>
  <c r="C139" i="50"/>
  <c r="C153" i="50"/>
  <c r="C150" i="50"/>
  <c r="C149" i="50"/>
  <c r="C97" i="50"/>
  <c r="C110" i="50"/>
  <c r="C146" i="50"/>
  <c r="C151" i="50"/>
  <c r="C114" i="50"/>
  <c r="C123" i="50"/>
  <c r="C113" i="50"/>
  <c r="C100" i="50"/>
  <c r="C135" i="50"/>
  <c r="C133" i="50"/>
  <c r="C128" i="50"/>
  <c r="C124" i="50"/>
  <c r="C131" i="50"/>
  <c r="C119" i="50"/>
  <c r="C103" i="50"/>
  <c r="C108" i="50"/>
  <c r="C109" i="50"/>
  <c r="C126" i="50"/>
  <c r="C148" i="50"/>
  <c r="C120" i="50"/>
  <c r="C127" i="50"/>
  <c r="C145" i="50"/>
  <c r="C102" i="50"/>
  <c r="C134" i="50"/>
  <c r="C115" i="50"/>
  <c r="C116" i="50"/>
  <c r="C147" i="50"/>
  <c r="C121" i="50"/>
  <c r="C136" i="50"/>
  <c r="C152" i="50"/>
  <c r="C99" i="50"/>
  <c r="C137" i="50"/>
  <c r="C105" i="50"/>
  <c r="C122" i="50"/>
  <c r="C107" i="50"/>
  <c r="C143" i="50"/>
  <c r="C112" i="50"/>
  <c r="D110" i="52"/>
  <c r="C92" i="52"/>
  <c r="D138" i="52"/>
  <c r="D146" i="52"/>
  <c r="C100" i="52"/>
  <c r="C108" i="52"/>
  <c r="C116" i="52"/>
  <c r="C124" i="52"/>
  <c r="C132" i="52"/>
  <c r="C93" i="52"/>
  <c r="C101" i="52"/>
  <c r="C160" i="52" s="1"/>
  <c r="C109" i="52"/>
  <c r="C117" i="52"/>
  <c r="C125" i="52"/>
  <c r="C133" i="52"/>
  <c r="E177" i="52" s="1"/>
  <c r="C141" i="52"/>
  <c r="C96" i="52"/>
  <c r="C104" i="52"/>
  <c r="C112" i="52"/>
  <c r="C120" i="52"/>
  <c r="C128" i="52"/>
  <c r="C136" i="52"/>
  <c r="C144" i="52"/>
  <c r="C146" i="52"/>
  <c r="C97" i="52"/>
  <c r="C105" i="52"/>
  <c r="C113" i="52"/>
  <c r="C121" i="52"/>
  <c r="C129" i="52"/>
  <c r="C137" i="52"/>
  <c r="C91" i="52"/>
  <c r="C95" i="52"/>
  <c r="C99" i="52"/>
  <c r="C103" i="52"/>
  <c r="C107" i="52"/>
  <c r="C111" i="52"/>
  <c r="C115" i="52"/>
  <c r="C119" i="52"/>
  <c r="C123" i="52"/>
  <c r="C127" i="52"/>
  <c r="C131" i="52"/>
  <c r="D132" i="52"/>
  <c r="C135" i="52"/>
  <c r="C139" i="52"/>
  <c r="C143" i="52"/>
  <c r="C147" i="52"/>
  <c r="C94" i="52"/>
  <c r="C98" i="52"/>
  <c r="C102" i="52"/>
  <c r="C106" i="52"/>
  <c r="C110" i="52"/>
  <c r="C114" i="52"/>
  <c r="C118" i="52"/>
  <c r="C122" i="52"/>
  <c r="C126" i="52"/>
  <c r="C130" i="52"/>
  <c r="C134" i="52"/>
  <c r="C138" i="52"/>
  <c r="C142" i="52"/>
  <c r="D436" i="52"/>
  <c r="D437" i="52"/>
  <c r="D438" i="52" s="1"/>
  <c r="A507" i="52"/>
  <c r="A508" i="52" s="1"/>
  <c r="B506" i="52"/>
  <c r="C140" i="51"/>
  <c r="D142" i="51"/>
  <c r="C141" i="51"/>
  <c r="C95" i="51"/>
  <c r="C104" i="51"/>
  <c r="C111" i="51"/>
  <c r="C120" i="51"/>
  <c r="C129" i="51"/>
  <c r="C136" i="51"/>
  <c r="C92" i="51"/>
  <c r="C99" i="51"/>
  <c r="C101" i="51"/>
  <c r="C108" i="51"/>
  <c r="C115" i="51"/>
  <c r="C117" i="51"/>
  <c r="C124" i="51"/>
  <c r="C131" i="51"/>
  <c r="C133" i="51"/>
  <c r="C142" i="51"/>
  <c r="C138" i="51"/>
  <c r="C134" i="51"/>
  <c r="C130" i="51"/>
  <c r="C126" i="51"/>
  <c r="C122" i="51"/>
  <c r="C118" i="51"/>
  <c r="E172" i="51" s="1"/>
  <c r="C114" i="51"/>
  <c r="C110" i="51"/>
  <c r="C106" i="51"/>
  <c r="C102" i="51"/>
  <c r="C98" i="51"/>
  <c r="C94" i="51"/>
  <c r="C90" i="51"/>
  <c r="C89" i="51"/>
  <c r="C158" i="51" s="1"/>
  <c r="C96" i="51"/>
  <c r="C103" i="51"/>
  <c r="C105" i="51"/>
  <c r="D108" i="51"/>
  <c r="C112" i="51"/>
  <c r="C119" i="51"/>
  <c r="C121" i="51"/>
  <c r="C128" i="51"/>
  <c r="C135" i="51"/>
  <c r="C137" i="51"/>
  <c r="C144" i="51"/>
  <c r="C97" i="51"/>
  <c r="C113" i="51"/>
  <c r="C127" i="51"/>
  <c r="C143" i="51"/>
  <c r="C145" i="51"/>
  <c r="C91" i="51"/>
  <c r="C93" i="51"/>
  <c r="C100" i="51"/>
  <c r="C107" i="51"/>
  <c r="C109" i="51"/>
  <c r="C116" i="51"/>
  <c r="C123" i="51"/>
  <c r="C125" i="51"/>
  <c r="C132" i="51"/>
  <c r="D137" i="51"/>
  <c r="C139" i="51"/>
  <c r="B104" i="54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507" i="52"/>
  <c r="C61" i="39"/>
  <c r="E60" i="39"/>
  <c r="B62" i="39"/>
  <c r="D60" i="39"/>
  <c r="C60" i="39"/>
  <c r="E62" i="39"/>
  <c r="D61" i="39"/>
  <c r="C62" i="39"/>
  <c r="B60" i="39"/>
  <c r="B61" i="39"/>
  <c r="E61" i="39"/>
  <c r="D62" i="39"/>
  <c r="D62" i="45"/>
  <c r="D88" i="45"/>
  <c r="D86" i="45"/>
  <c r="G67" i="44"/>
  <c r="G72" i="44"/>
  <c r="E70" i="44"/>
  <c r="F67" i="45"/>
  <c r="F75" i="44"/>
  <c r="C68" i="38"/>
  <c r="C74" i="38" s="1"/>
  <c r="B68" i="38"/>
  <c r="B74" i="38" s="1"/>
  <c r="D68" i="38"/>
  <c r="D74" i="38" s="1"/>
  <c r="L80" i="45"/>
  <c r="L60" i="45"/>
  <c r="L67" i="45"/>
  <c r="L74" i="45"/>
  <c r="L84" i="45"/>
  <c r="L71" i="45"/>
  <c r="L68" i="45"/>
  <c r="L89" i="45"/>
  <c r="L88" i="45"/>
  <c r="L72" i="45"/>
  <c r="L83" i="45"/>
  <c r="L66" i="45"/>
  <c r="L73" i="45"/>
  <c r="L61" i="45"/>
  <c r="L63" i="45"/>
  <c r="L78" i="45"/>
  <c r="L79" i="45"/>
  <c r="L82" i="45"/>
  <c r="L70" i="45"/>
  <c r="L64" i="45"/>
  <c r="L81" i="45"/>
  <c r="L62" i="45"/>
  <c r="L75" i="45"/>
  <c r="J75" i="45"/>
  <c r="J77" i="45"/>
  <c r="J86" i="45"/>
  <c r="J68" i="45"/>
  <c r="J81" i="45"/>
  <c r="J84" i="45"/>
  <c r="J83" i="45"/>
  <c r="J63" i="45"/>
  <c r="J60" i="45"/>
  <c r="J67" i="45"/>
  <c r="J82" i="45"/>
  <c r="J89" i="45"/>
  <c r="J71" i="45"/>
  <c r="J65" i="45"/>
  <c r="J78" i="45"/>
  <c r="J76" i="45"/>
  <c r="J66" i="45"/>
  <c r="J73" i="45"/>
  <c r="J80" i="45"/>
  <c r="J74" i="45"/>
  <c r="J64" i="45"/>
  <c r="J85" i="45"/>
  <c r="J70" i="45"/>
  <c r="H75" i="44"/>
  <c r="E73" i="44"/>
  <c r="I73" i="44"/>
  <c r="J68" i="44"/>
  <c r="E68" i="44"/>
  <c r="F79" i="45"/>
  <c r="F97" i="43"/>
  <c r="F84" i="43"/>
  <c r="I70" i="45"/>
  <c r="F69" i="45"/>
  <c r="F84" i="45"/>
  <c r="F65" i="45"/>
  <c r="F70" i="45"/>
  <c r="F89" i="45"/>
  <c r="F61" i="45"/>
  <c r="F81" i="45"/>
  <c r="F74" i="45"/>
  <c r="F72" i="45"/>
  <c r="F76" i="45"/>
  <c r="F83" i="45"/>
  <c r="F80" i="45"/>
  <c r="F78" i="45"/>
  <c r="F87" i="45"/>
  <c r="F71" i="45"/>
  <c r="F64" i="45"/>
  <c r="F77" i="45"/>
  <c r="F85" i="45"/>
  <c r="F62" i="45"/>
  <c r="F82" i="45"/>
  <c r="F75" i="45"/>
  <c r="F73" i="45"/>
  <c r="F68" i="45"/>
  <c r="D67" i="44"/>
  <c r="C72" i="44"/>
  <c r="H71" i="44"/>
  <c r="I74" i="44"/>
  <c r="H70" i="44"/>
  <c r="K70" i="44"/>
  <c r="E67" i="44"/>
  <c r="H67" i="44"/>
  <c r="L71" i="44"/>
  <c r="H69" i="44"/>
  <c r="G68" i="44"/>
  <c r="K74" i="44"/>
  <c r="K69" i="44"/>
  <c r="L74" i="44"/>
  <c r="D73" i="44"/>
  <c r="C67" i="44"/>
  <c r="E69" i="44"/>
  <c r="L68" i="44"/>
  <c r="I68" i="44"/>
  <c r="I75" i="44"/>
  <c r="E72" i="44"/>
  <c r="E66" i="44"/>
  <c r="D70" i="44"/>
  <c r="G73" i="44"/>
  <c r="L69" i="44"/>
  <c r="D75" i="44"/>
  <c r="C66" i="44"/>
  <c r="C69" i="44"/>
  <c r="H66" i="44"/>
  <c r="J72" i="44"/>
  <c r="L75" i="44"/>
  <c r="K75" i="44"/>
  <c r="K71" i="44"/>
  <c r="L66" i="44"/>
  <c r="J70" i="44"/>
  <c r="F67" i="44"/>
  <c r="J73" i="44"/>
  <c r="F74" i="44"/>
  <c r="D72" i="44"/>
  <c r="F68" i="44"/>
  <c r="G66" i="44"/>
  <c r="G71" i="44"/>
  <c r="I70" i="44"/>
  <c r="I67" i="44"/>
  <c r="J67" i="44"/>
  <c r="D68" i="44"/>
  <c r="I69" i="44"/>
  <c r="D69" i="44"/>
  <c r="H73" i="44"/>
  <c r="K66" i="44"/>
  <c r="F71" i="44"/>
  <c r="J74" i="44"/>
  <c r="C68" i="44"/>
  <c r="K68" i="44"/>
  <c r="J75" i="44"/>
  <c r="D71" i="44"/>
  <c r="J71" i="44"/>
  <c r="L70" i="44"/>
  <c r="C71" i="44"/>
  <c r="E71" i="44"/>
  <c r="F72" i="44"/>
  <c r="C70" i="44"/>
  <c r="C74" i="44"/>
  <c r="C75" i="44"/>
  <c r="H72" i="44"/>
  <c r="F69" i="44"/>
  <c r="D66" i="44"/>
  <c r="F70" i="44"/>
  <c r="I71" i="44"/>
  <c r="D74" i="44"/>
  <c r="I66" i="44"/>
  <c r="E74" i="44"/>
  <c r="L67" i="44"/>
  <c r="G69" i="44"/>
  <c r="L73" i="44"/>
  <c r="F73" i="44"/>
  <c r="B263" i="50"/>
  <c r="B264" i="50" s="1"/>
  <c r="B265" i="50" s="1"/>
  <c r="B266" i="50" s="1"/>
  <c r="C103" i="47"/>
  <c r="D85" i="48"/>
  <c r="C125" i="50"/>
  <c r="D145" i="52"/>
  <c r="D53" i="53"/>
  <c r="D55" i="53" s="1"/>
  <c r="F34" i="53"/>
  <c r="C62" i="53"/>
  <c r="B115" i="53"/>
  <c r="C65" i="53"/>
  <c r="D113" i="53" s="1"/>
  <c r="D50" i="54"/>
  <c r="D63" i="54"/>
  <c r="D57" i="54"/>
  <c r="B250" i="48"/>
  <c r="B251" i="48" s="1"/>
  <c r="B252" i="48" s="1"/>
  <c r="B253" i="48" s="1"/>
  <c r="B254" i="48" s="1"/>
  <c r="B255" i="48" s="1"/>
  <c r="B256" i="48" s="1"/>
  <c r="D112" i="53"/>
  <c r="C55" i="56"/>
  <c r="C63" i="56"/>
  <c r="C49" i="56"/>
  <c r="C57" i="56"/>
  <c r="C65" i="56"/>
  <c r="D52" i="56"/>
  <c r="C51" i="56"/>
  <c r="C59" i="56"/>
  <c r="C64" i="56"/>
  <c r="C53" i="56"/>
  <c r="C61" i="56"/>
  <c r="D60" i="56"/>
  <c r="D64" i="56"/>
  <c r="C46" i="56"/>
  <c r="D47" i="56"/>
  <c r="C50" i="56"/>
  <c r="D51" i="56"/>
  <c r="C54" i="56"/>
  <c r="D55" i="56"/>
  <c r="C58" i="56"/>
  <c r="D59" i="56"/>
  <c r="C62" i="56"/>
  <c r="D63" i="56"/>
  <c r="D56" i="56"/>
  <c r="D46" i="56"/>
  <c r="D50" i="56"/>
  <c r="D54" i="56"/>
  <c r="D58" i="56"/>
  <c r="D62" i="56"/>
  <c r="D48" i="56"/>
  <c r="C48" i="56"/>
  <c r="D49" i="56"/>
  <c r="C52" i="56"/>
  <c r="D53" i="56"/>
  <c r="D57" i="56"/>
  <c r="C60" i="56"/>
  <c r="D61" i="56"/>
  <c r="D43" i="41" a="1"/>
  <c r="D45" i="41" s="1"/>
  <c r="C81" i="43"/>
  <c r="C101" i="43"/>
  <c r="C92" i="43"/>
  <c r="C97" i="43"/>
  <c r="C107" i="43"/>
  <c r="C98" i="43"/>
  <c r="D107" i="43"/>
  <c r="D90" i="43"/>
  <c r="D93" i="43"/>
  <c r="D97" i="43"/>
  <c r="D101" i="43"/>
  <c r="I85" i="45"/>
  <c r="D550" i="45"/>
  <c r="C545" i="45" s="1" a="1"/>
  <c r="C102" i="47"/>
  <c r="C100" i="47"/>
  <c r="C121" i="47"/>
  <c r="C112" i="47"/>
  <c r="C119" i="47"/>
  <c r="C115" i="47"/>
  <c r="C122" i="47"/>
  <c r="C106" i="47"/>
  <c r="C99" i="47"/>
  <c r="C75" i="39"/>
  <c r="D74" i="39"/>
  <c r="B75" i="39"/>
  <c r="E76" i="39"/>
  <c r="F86" i="45"/>
  <c r="C92" i="48"/>
  <c r="C85" i="48"/>
  <c r="C86" i="48"/>
  <c r="C76" i="48"/>
  <c r="C72" i="48"/>
  <c r="C68" i="48"/>
  <c r="C64" i="48"/>
  <c r="C79" i="48"/>
  <c r="D76" i="39"/>
  <c r="D94" i="43"/>
  <c r="D98" i="43"/>
  <c r="C82" i="43"/>
  <c r="C103" i="43"/>
  <c r="D95" i="43"/>
  <c r="D110" i="38"/>
  <c r="K32" i="39"/>
  <c r="C71" i="45"/>
  <c r="J32" i="39"/>
  <c r="D87" i="43"/>
  <c r="F60" i="45"/>
  <c r="C88" i="43"/>
  <c r="H12" i="40"/>
  <c r="D103" i="43"/>
  <c r="D89" i="43"/>
  <c r="G68" i="41"/>
  <c r="B76" i="39"/>
  <c r="D85" i="43"/>
  <c r="G80" i="45"/>
  <c r="G74" i="45"/>
  <c r="G86" i="45"/>
  <c r="G69" i="45"/>
  <c r="K76" i="45"/>
  <c r="K83" i="45"/>
  <c r="K78" i="45"/>
  <c r="K84" i="45"/>
  <c r="K69" i="45"/>
  <c r="K81" i="45"/>
  <c r="G63" i="45"/>
  <c r="D233" i="45"/>
  <c r="D234" i="45"/>
  <c r="C113" i="47"/>
  <c r="D80" i="48"/>
  <c r="D91" i="48"/>
  <c r="D66" i="48"/>
  <c r="D70" i="48"/>
  <c r="D96" i="48"/>
  <c r="D74" i="48"/>
  <c r="D78" i="48"/>
  <c r="E74" i="39"/>
  <c r="D99" i="43"/>
  <c r="I33" i="39"/>
  <c r="D81" i="43"/>
  <c r="D104" i="43"/>
  <c r="D102" i="43"/>
  <c r="K33" i="39"/>
  <c r="B91" i="38"/>
  <c r="H11" i="40"/>
  <c r="G12" i="40"/>
  <c r="D49" i="40"/>
  <c r="C48" i="40"/>
  <c r="C46" i="40"/>
  <c r="E47" i="40"/>
  <c r="C86" i="43"/>
  <c r="G98" i="43"/>
  <c r="G101" i="43"/>
  <c r="G103" i="43"/>
  <c r="G107" i="43"/>
  <c r="G93" i="43"/>
  <c r="G106" i="43"/>
  <c r="G95" i="43"/>
  <c r="G91" i="43"/>
  <c r="G90" i="43"/>
  <c r="E81" i="45"/>
  <c r="H73" i="45"/>
  <c r="H64" i="45"/>
  <c r="H80" i="45"/>
  <c r="H61" i="45"/>
  <c r="H77" i="45"/>
  <c r="H60" i="45"/>
  <c r="H72" i="45"/>
  <c r="J69" i="45"/>
  <c r="J88" i="45"/>
  <c r="D397" i="45"/>
  <c r="J392" i="45"/>
  <c r="I398" i="45"/>
  <c r="I396" i="45"/>
  <c r="I394" i="45"/>
  <c r="E392" i="45"/>
  <c r="E390" i="45"/>
  <c r="J390" i="45"/>
  <c r="H398" i="45"/>
  <c r="L396" i="45"/>
  <c r="F395" i="45"/>
  <c r="J393" i="45"/>
  <c r="D392" i="45"/>
  <c r="H390" i="45"/>
  <c r="H397" i="45"/>
  <c r="L393" i="45"/>
  <c r="D391" i="45"/>
  <c r="G398" i="45"/>
  <c r="K396" i="45"/>
  <c r="E395" i="45"/>
  <c r="I393" i="45"/>
  <c r="C392" i="45"/>
  <c r="G390" i="45"/>
  <c r="H399" i="45"/>
  <c r="G397" i="45"/>
  <c r="C391" i="45"/>
  <c r="C170" i="47"/>
  <c r="C212" i="47" s="1"/>
  <c r="C144" i="47"/>
  <c r="C186" i="47" s="1"/>
  <c r="C158" i="47"/>
  <c r="C200" i="47" s="1"/>
  <c r="C143" i="47"/>
  <c r="C185" i="47"/>
  <c r="C151" i="47"/>
  <c r="C193" i="47" s="1"/>
  <c r="C159" i="47"/>
  <c r="C201" i="47" s="1"/>
  <c r="C167" i="47"/>
  <c r="C209" i="47" s="1"/>
  <c r="C168" i="47"/>
  <c r="C210" i="47" s="1"/>
  <c r="C157" i="47"/>
  <c r="C199" i="47" s="1"/>
  <c r="C146" i="47"/>
  <c r="C188" i="47"/>
  <c r="C166" i="47"/>
  <c r="C208" i="47" s="1"/>
  <c r="C156" i="47"/>
  <c r="C198" i="47"/>
  <c r="C145" i="47"/>
  <c r="C187" i="47" s="1"/>
  <c r="C160" i="47"/>
  <c r="C202" i="47" s="1"/>
  <c r="C165" i="47"/>
  <c r="C207" i="47" s="1"/>
  <c r="E75" i="48"/>
  <c r="C129" i="50"/>
  <c r="C98" i="50"/>
  <c r="C101" i="50"/>
  <c r="E177" i="50" s="1"/>
  <c r="C118" i="50"/>
  <c r="C140" i="50"/>
  <c r="C138" i="50"/>
  <c r="C141" i="50"/>
  <c r="E183" i="50" s="1"/>
  <c r="C111" i="50"/>
  <c r="C117" i="50"/>
  <c r="C132" i="50"/>
  <c r="C106" i="50"/>
  <c r="C104" i="50"/>
  <c r="C144" i="50"/>
  <c r="C142" i="50"/>
  <c r="C130" i="50"/>
  <c r="C167" i="50" s="1"/>
  <c r="E75" i="44"/>
  <c r="F66" i="44"/>
  <c r="C94" i="56"/>
  <c r="C93" i="56"/>
  <c r="D58" i="54"/>
  <c r="C52" i="54"/>
  <c r="C60" i="54"/>
  <c r="C63" i="54"/>
  <c r="C119" i="54" s="1"/>
  <c r="D162" i="54" s="1"/>
  <c r="C48" i="54"/>
  <c r="C61" i="54"/>
  <c r="C59" i="54"/>
  <c r="D52" i="54"/>
  <c r="C108" i="54" s="1"/>
  <c r="C161" i="54" s="1"/>
  <c r="D116" i="38"/>
  <c r="J90" i="44"/>
  <c r="F90" i="44"/>
  <c r="C92" i="44"/>
  <c r="G96" i="44"/>
  <c r="E92" i="44"/>
  <c r="E96" i="44"/>
  <c r="I93" i="44"/>
  <c r="L93" i="44"/>
  <c r="G90" i="44"/>
  <c r="D43" i="41"/>
  <c r="D44" i="41"/>
  <c r="B257" i="48"/>
  <c r="B258" i="48"/>
  <c r="B259" i="48" s="1"/>
  <c r="B260" i="48" s="1"/>
  <c r="B261" i="48" s="1"/>
  <c r="C100" i="55" a="1"/>
  <c r="C102" i="55" s="1"/>
  <c r="D350" i="55"/>
  <c r="D109" i="55"/>
  <c r="E351" i="55"/>
  <c r="D95" i="55"/>
  <c r="D103" i="55"/>
  <c r="D100" i="55"/>
  <c r="D106" i="55"/>
  <c r="E350" i="55"/>
  <c r="D107" i="55"/>
  <c r="D65" i="54"/>
  <c r="D54" i="54"/>
  <c r="D55" i="54"/>
  <c r="D61" i="54"/>
  <c r="D117" i="54" s="1"/>
  <c r="D60" i="54"/>
  <c r="C116" i="54" s="1"/>
  <c r="D159" i="54" s="1"/>
  <c r="C253" i="54"/>
  <c r="C117" i="54"/>
  <c r="D160" i="54" s="1"/>
  <c r="D51" i="54"/>
  <c r="D107" i="54" s="1"/>
  <c r="C46" i="54"/>
  <c r="D102" i="54" s="1"/>
  <c r="C51" i="54"/>
  <c r="C55" i="54"/>
  <c r="C111" i="54" s="1"/>
  <c r="C164" i="54" s="1"/>
  <c r="D64" i="54"/>
  <c r="D47" i="54"/>
  <c r="D62" i="54"/>
  <c r="D48" i="54"/>
  <c r="C53" i="54"/>
  <c r="C64" i="54"/>
  <c r="C120" i="54" s="1"/>
  <c r="D163" i="54" s="1"/>
  <c r="C190" i="54"/>
  <c r="C62" i="54"/>
  <c r="C58" i="54"/>
  <c r="C47" i="54"/>
  <c r="D53" i="54"/>
  <c r="D49" i="54"/>
  <c r="C105" i="54" s="1"/>
  <c r="C158" i="54" s="1"/>
  <c r="C49" i="54"/>
  <c r="D116" i="54"/>
  <c r="K407" i="55"/>
  <c r="E101" i="55"/>
  <c r="E95" i="55"/>
  <c r="D94" i="55"/>
  <c r="B63" i="55" a="1"/>
  <c r="I407" i="55"/>
  <c r="I403" i="55"/>
  <c r="K399" i="55"/>
  <c r="J396" i="55"/>
  <c r="K402" i="55"/>
  <c r="K404" i="55"/>
  <c r="I395" i="55"/>
  <c r="J394" i="55"/>
  <c r="I411" i="55"/>
  <c r="K403" i="55"/>
  <c r="K411" i="55"/>
  <c r="C103" i="55"/>
  <c r="D101" i="55"/>
  <c r="D105" i="55"/>
  <c r="D102" i="55"/>
  <c r="D104" i="55"/>
  <c r="D97" i="55"/>
  <c r="D96" i="55"/>
  <c r="D98" i="55"/>
  <c r="D108" i="55"/>
  <c r="D111" i="55"/>
  <c r="D110" i="55"/>
  <c r="E102" i="55"/>
  <c r="E99" i="55"/>
  <c r="E96" i="55"/>
  <c r="E94" i="55"/>
  <c r="E97" i="55"/>
  <c r="I394" i="55"/>
  <c r="K394" i="55"/>
  <c r="J410" i="55"/>
  <c r="K410" i="55"/>
  <c r="K408" i="55"/>
  <c r="J408" i="55"/>
  <c r="I408" i="55"/>
  <c r="K406" i="55"/>
  <c r="I406" i="55"/>
  <c r="C425" i="55" s="1"/>
  <c r="J406" i="55"/>
  <c r="K397" i="55"/>
  <c r="J395" i="55"/>
  <c r="C107" i="55"/>
  <c r="C111" i="55"/>
  <c r="C109" i="55"/>
  <c r="C110" i="55"/>
  <c r="C106" i="55"/>
  <c r="I410" i="55"/>
  <c r="C94" i="55" a="1"/>
  <c r="C96" i="55" s="1"/>
  <c r="B58" i="55" a="1"/>
  <c r="B59" i="55" s="1"/>
  <c r="E106" i="55" a="1"/>
  <c r="E111" i="55" s="1"/>
  <c r="B68" i="55" a="1"/>
  <c r="D69" i="55" s="1"/>
  <c r="K409" i="55"/>
  <c r="I409" i="55"/>
  <c r="J402" i="55"/>
  <c r="I402" i="55"/>
  <c r="K398" i="55"/>
  <c r="J398" i="55"/>
  <c r="J401" i="55"/>
  <c r="E98" i="55"/>
  <c r="E100" i="55"/>
  <c r="E105" i="55"/>
  <c r="E104" i="55"/>
  <c r="E103" i="55"/>
  <c r="C197" i="55"/>
  <c r="C198" i="55" s="1"/>
  <c r="C199" i="55"/>
  <c r="C219" i="55" s="1"/>
  <c r="D181" i="55"/>
  <c r="C181" i="55"/>
  <c r="I401" i="55"/>
  <c r="K405" i="55"/>
  <c r="I405" i="55"/>
  <c r="K400" i="55"/>
  <c r="I400" i="55"/>
  <c r="J400" i="55"/>
  <c r="J397" i="55"/>
  <c r="K396" i="55"/>
  <c r="I396" i="55"/>
  <c r="C78" i="57"/>
  <c r="C80" i="57"/>
  <c r="C82" i="57" s="1"/>
  <c r="C104" i="57"/>
  <c r="C106" i="57" s="1"/>
  <c r="C108" i="57" s="1"/>
  <c r="C112" i="57" s="1"/>
  <c r="C98" i="55"/>
  <c r="C99" i="55"/>
  <c r="C94" i="55"/>
  <c r="C95" i="55"/>
  <c r="D68" i="55"/>
  <c r="B68" i="55"/>
  <c r="C65" i="55"/>
  <c r="D63" i="55"/>
  <c r="D65" i="55"/>
  <c r="B65" i="55"/>
  <c r="C63" i="55"/>
  <c r="D64" i="55"/>
  <c r="C64" i="55"/>
  <c r="B63" i="55"/>
  <c r="B64" i="55"/>
  <c r="D59" i="55"/>
  <c r="C59" i="55"/>
  <c r="C60" i="55"/>
  <c r="B58" i="55"/>
  <c r="B262" i="48"/>
  <c r="C546" i="45"/>
  <c r="D546" i="45"/>
  <c r="D545" i="45"/>
  <c r="C545" i="45"/>
  <c r="C559" i="45" s="1" a="1"/>
  <c r="B267" i="50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13" i="45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D35" i="53"/>
  <c r="E35" i="53"/>
  <c r="E63" i="45"/>
  <c r="C89" i="43"/>
  <c r="C110" i="38"/>
  <c r="E84" i="45"/>
  <c r="H75" i="45"/>
  <c r="G79" i="45"/>
  <c r="K62" i="45"/>
  <c r="E83" i="45"/>
  <c r="G60" i="45"/>
  <c r="G77" i="45"/>
  <c r="F28" i="42"/>
  <c r="F187" i="43"/>
  <c r="C111" i="38"/>
  <c r="G48" i="46" a="1"/>
  <c r="G49" i="46" s="1"/>
  <c r="H29" i="42"/>
  <c r="C112" i="48"/>
  <c r="H89" i="45"/>
  <c r="H85" i="45"/>
  <c r="K71" i="45"/>
  <c r="H65" i="45"/>
  <c r="H63" i="45"/>
  <c r="H74" i="45"/>
  <c r="G82" i="45"/>
  <c r="G87" i="45"/>
  <c r="C87" i="43"/>
  <c r="E68" i="45"/>
  <c r="J50" i="39"/>
  <c r="F29" i="42"/>
  <c r="C145" i="52"/>
  <c r="C140" i="52"/>
  <c r="C56" i="54"/>
  <c r="C57" i="54"/>
  <c r="C113" i="54" s="1"/>
  <c r="D156" i="54" s="1"/>
  <c r="C50" i="54"/>
  <c r="C106" i="54" s="1"/>
  <c r="C159" i="54" s="1"/>
  <c r="J407" i="55"/>
  <c r="D425" i="55" s="1"/>
  <c r="I397" i="55"/>
  <c r="J403" i="55"/>
  <c r="I398" i="55"/>
  <c r="C84" i="57" a="1"/>
  <c r="C84" i="57" s="1"/>
  <c r="D561" i="45"/>
  <c r="D563" i="45"/>
  <c r="D567" i="45"/>
  <c r="D560" i="45"/>
  <c r="C562" i="45"/>
  <c r="E562" i="45" s="1"/>
  <c r="D562" i="45"/>
  <c r="C564" i="45"/>
  <c r="C559" i="45"/>
  <c r="E228" i="53"/>
  <c r="D100" i="53"/>
  <c r="E112" i="53"/>
  <c r="G48" i="46"/>
  <c r="C273" i="53"/>
  <c r="D265" i="53"/>
  <c r="C274" i="53"/>
  <c r="D112" i="54"/>
  <c r="D366" i="50"/>
  <c r="D367" i="50" s="1"/>
  <c r="D368" i="50" s="1"/>
  <c r="B263" i="48"/>
  <c r="B264" i="48" s="1"/>
  <c r="B265" i="48"/>
  <c r="C257" i="48" l="1"/>
  <c r="C294" i="48" s="1"/>
  <c r="E559" i="45"/>
  <c r="E563" i="45"/>
  <c r="B116" i="53"/>
  <c r="C116" i="53" s="1"/>
  <c r="C115" i="53"/>
  <c r="E115" i="53" s="1"/>
  <c r="E110" i="48"/>
  <c r="F112" i="48"/>
  <c r="E113" i="48"/>
  <c r="C113" i="48"/>
  <c r="D112" i="48"/>
  <c r="F111" i="48"/>
  <c r="E112" i="48"/>
  <c r="C111" i="48"/>
  <c r="F113" i="48"/>
  <c r="D111" i="48"/>
  <c r="J93" i="45"/>
  <c r="L90" i="44"/>
  <c r="L88" i="44"/>
  <c r="G94" i="44"/>
  <c r="J89" i="44"/>
  <c r="F91" i="44"/>
  <c r="K92" i="44"/>
  <c r="D87" i="44"/>
  <c r="C93" i="44"/>
  <c r="E94" i="44"/>
  <c r="G91" i="44"/>
  <c r="I88" i="44"/>
  <c r="I87" i="44"/>
  <c r="H87" i="44"/>
  <c r="E89" i="44"/>
  <c r="J95" i="44"/>
  <c r="H88" i="44"/>
  <c r="E88" i="44"/>
  <c r="I94" i="44"/>
  <c r="K95" i="44"/>
  <c r="F96" i="44"/>
  <c r="E91" i="44"/>
  <c r="D89" i="44"/>
  <c r="H90" i="44"/>
  <c r="F88" i="44"/>
  <c r="H95" i="44"/>
  <c r="K93" i="44"/>
  <c r="L87" i="44"/>
  <c r="G92" i="44"/>
  <c r="D95" i="44"/>
  <c r="C90" i="44"/>
  <c r="F95" i="44"/>
  <c r="C87" i="44"/>
  <c r="I91" i="44"/>
  <c r="H92" i="44"/>
  <c r="H89" i="44"/>
  <c r="G88" i="44"/>
  <c r="K96" i="44"/>
  <c r="H94" i="44"/>
  <c r="F94" i="44"/>
  <c r="K90" i="44"/>
  <c r="L92" i="44"/>
  <c r="E87" i="44"/>
  <c r="I92" i="44"/>
  <c r="K89" i="44"/>
  <c r="J94" i="44"/>
  <c r="G89" i="44"/>
  <c r="C96" i="44"/>
  <c r="C89" i="44"/>
  <c r="D94" i="44"/>
  <c r="C91" i="44"/>
  <c r="J87" i="44"/>
  <c r="J96" i="44"/>
  <c r="E90" i="44"/>
  <c r="F87" i="44"/>
  <c r="C88" i="44"/>
  <c r="D90" i="44"/>
  <c r="G87" i="44"/>
  <c r="D88" i="44"/>
  <c r="G95" i="44"/>
  <c r="L96" i="44"/>
  <c r="H93" i="44"/>
  <c r="J88" i="44"/>
  <c r="L95" i="44"/>
  <c r="I89" i="44"/>
  <c r="E91" i="48"/>
  <c r="E85" i="48"/>
  <c r="E92" i="48"/>
  <c r="E84" i="48"/>
  <c r="E79" i="48"/>
  <c r="E65" i="48"/>
  <c r="E89" i="48"/>
  <c r="E81" i="48"/>
  <c r="E74" i="48"/>
  <c r="E72" i="48"/>
  <c r="E78" i="48"/>
  <c r="E87" i="48"/>
  <c r="E70" i="48"/>
  <c r="E71" i="48"/>
  <c r="E64" i="48"/>
  <c r="E77" i="48"/>
  <c r="E67" i="48"/>
  <c r="E86" i="48"/>
  <c r="E68" i="48"/>
  <c r="E83" i="48"/>
  <c r="E82" i="48"/>
  <c r="E88" i="48"/>
  <c r="E76" i="48"/>
  <c r="E80" i="48"/>
  <c r="E73" i="48"/>
  <c r="D132" i="51"/>
  <c r="D120" i="51"/>
  <c r="D145" i="51"/>
  <c r="D92" i="51"/>
  <c r="D124" i="51"/>
  <c r="D131" i="51"/>
  <c r="D115" i="51"/>
  <c r="D99" i="51"/>
  <c r="D112" i="51"/>
  <c r="F172" i="51" s="1"/>
  <c r="D93" i="51"/>
  <c r="D100" i="51"/>
  <c r="D125" i="51"/>
  <c r="D104" i="51"/>
  <c r="D129" i="51"/>
  <c r="D138" i="51"/>
  <c r="D94" i="51"/>
  <c r="D117" i="51"/>
  <c r="D140" i="51"/>
  <c r="D139" i="51"/>
  <c r="D119" i="51"/>
  <c r="D95" i="51"/>
  <c r="D105" i="51"/>
  <c r="D128" i="51"/>
  <c r="D109" i="51"/>
  <c r="D159" i="51" s="1"/>
  <c r="D118" i="51"/>
  <c r="D113" i="51"/>
  <c r="D101" i="51"/>
  <c r="D110" i="51"/>
  <c r="D126" i="51"/>
  <c r="D135" i="51"/>
  <c r="D107" i="51"/>
  <c r="D130" i="51"/>
  <c r="D144" i="51"/>
  <c r="D116" i="51"/>
  <c r="D141" i="51"/>
  <c r="D90" i="51"/>
  <c r="D127" i="51"/>
  <c r="D103" i="51"/>
  <c r="D121" i="51"/>
  <c r="D106" i="51"/>
  <c r="D122" i="51"/>
  <c r="D136" i="51"/>
  <c r="D133" i="51"/>
  <c r="D91" i="51"/>
  <c r="D96" i="51"/>
  <c r="D102" i="51"/>
  <c r="D97" i="51"/>
  <c r="D143" i="51"/>
  <c r="D89" i="51"/>
  <c r="D98" i="51"/>
  <c r="D114" i="51"/>
  <c r="A568" i="51"/>
  <c r="B567" i="51"/>
  <c r="E111" i="48"/>
  <c r="F185" i="43"/>
  <c r="D568" i="45"/>
  <c r="C567" i="45"/>
  <c r="C565" i="45"/>
  <c r="C561" i="45"/>
  <c r="E561" i="45" s="1"/>
  <c r="D564" i="45"/>
  <c r="E564" i="45" s="1"/>
  <c r="C566" i="45"/>
  <c r="E106" i="55"/>
  <c r="L89" i="44"/>
  <c r="F93" i="44"/>
  <c r="K91" i="44"/>
  <c r="K88" i="44"/>
  <c r="C94" i="44"/>
  <c r="C95" i="56"/>
  <c r="C110" i="56"/>
  <c r="C86" i="45"/>
  <c r="C130" i="47"/>
  <c r="C110" i="48"/>
  <c r="D115" i="53"/>
  <c r="I77" i="45"/>
  <c r="E175" i="51"/>
  <c r="C160" i="51"/>
  <c r="G233" i="45"/>
  <c r="F236" i="45"/>
  <c r="D235" i="45"/>
  <c r="L230" i="45"/>
  <c r="G230" i="45"/>
  <c r="F231" i="45"/>
  <c r="L236" i="45"/>
  <c r="J235" i="45"/>
  <c r="D237" i="45"/>
  <c r="K231" i="45"/>
  <c r="D229" i="45"/>
  <c r="C235" i="45"/>
  <c r="G237" i="45"/>
  <c r="G234" i="45"/>
  <c r="L229" i="45"/>
  <c r="L238" i="45"/>
  <c r="K234" i="45"/>
  <c r="H235" i="45"/>
  <c r="E230" i="45"/>
  <c r="E231" i="45"/>
  <c r="H236" i="45"/>
  <c r="J232" i="45"/>
  <c r="F233" i="45"/>
  <c r="I231" i="45"/>
  <c r="G231" i="45"/>
  <c r="F230" i="45"/>
  <c r="I238" i="45"/>
  <c r="G229" i="45"/>
  <c r="I230" i="45"/>
  <c r="C231" i="45"/>
  <c r="F237" i="45"/>
  <c r="K230" i="45"/>
  <c r="G238" i="45"/>
  <c r="J233" i="45"/>
  <c r="D231" i="45"/>
  <c r="I236" i="45"/>
  <c r="K238" i="45"/>
  <c r="D236" i="45"/>
  <c r="E235" i="45"/>
  <c r="E238" i="45"/>
  <c r="E229" i="45"/>
  <c r="K229" i="45"/>
  <c r="J238" i="45"/>
  <c r="H234" i="45"/>
  <c r="E232" i="45"/>
  <c r="J236" i="45"/>
  <c r="L231" i="45"/>
  <c r="I229" i="45"/>
  <c r="L235" i="45"/>
  <c r="J229" i="45"/>
  <c r="F229" i="45"/>
  <c r="C237" i="45"/>
  <c r="I232" i="45"/>
  <c r="F238" i="45"/>
  <c r="D230" i="45"/>
  <c r="I233" i="45"/>
  <c r="E236" i="45"/>
  <c r="J230" i="45"/>
  <c r="F232" i="45"/>
  <c r="L234" i="45"/>
  <c r="C234" i="45"/>
  <c r="F235" i="45"/>
  <c r="C232" i="45"/>
  <c r="K236" i="45"/>
  <c r="F234" i="45"/>
  <c r="K235" i="45"/>
  <c r="L232" i="45"/>
  <c r="G232" i="45"/>
  <c r="C238" i="45"/>
  <c r="H231" i="45"/>
  <c r="J234" i="45"/>
  <c r="G235" i="45"/>
  <c r="L237" i="45"/>
  <c r="I235" i="45"/>
  <c r="H232" i="45"/>
  <c r="C233" i="45"/>
  <c r="J237" i="45"/>
  <c r="H229" i="45"/>
  <c r="E237" i="45"/>
  <c r="C236" i="45"/>
  <c r="H230" i="45"/>
  <c r="H238" i="45"/>
  <c r="E233" i="45"/>
  <c r="K237" i="45"/>
  <c r="E234" i="45"/>
  <c r="H237" i="45"/>
  <c r="C229" i="45"/>
  <c r="D232" i="45"/>
  <c r="K232" i="45"/>
  <c r="A437" i="50"/>
  <c r="B436" i="50"/>
  <c r="C238" i="48"/>
  <c r="C275" i="48" s="1"/>
  <c r="C239" i="48"/>
  <c r="C276" i="48" s="1"/>
  <c r="C262" i="48"/>
  <c r="C299" i="48" s="1"/>
  <c r="B266" i="48"/>
  <c r="F35" i="53"/>
  <c r="H49" i="46"/>
  <c r="D565" i="45"/>
  <c r="C560" i="45"/>
  <c r="E560" i="45" s="1"/>
  <c r="D559" i="45"/>
  <c r="C86" i="57"/>
  <c r="C112" i="54"/>
  <c r="D155" i="54" s="1"/>
  <c r="J49" i="39"/>
  <c r="D120" i="54"/>
  <c r="E110" i="55"/>
  <c r="D111" i="54"/>
  <c r="C102" i="54"/>
  <c r="C155" i="54" s="1"/>
  <c r="C107" i="54"/>
  <c r="C160" i="54" s="1"/>
  <c r="C129" i="47"/>
  <c r="J93" i="44"/>
  <c r="K94" i="44"/>
  <c r="D91" i="44"/>
  <c r="E93" i="44"/>
  <c r="J91" i="44"/>
  <c r="I90" i="44"/>
  <c r="F92" i="44"/>
  <c r="K87" i="44"/>
  <c r="F89" i="44"/>
  <c r="C115" i="54"/>
  <c r="D158" i="54" s="1"/>
  <c r="D115" i="54"/>
  <c r="C168" i="50"/>
  <c r="G236" i="45"/>
  <c r="I237" i="45"/>
  <c r="D113" i="48"/>
  <c r="I84" i="45"/>
  <c r="D111" i="51"/>
  <c r="E171" i="52"/>
  <c r="J231" i="45"/>
  <c r="D238" i="45"/>
  <c r="C95" i="48"/>
  <c r="C96" i="48"/>
  <c r="D187" i="43"/>
  <c r="E185" i="43"/>
  <c r="C189" i="43"/>
  <c r="C187" i="43"/>
  <c r="F188" i="43"/>
  <c r="E188" i="43"/>
  <c r="D185" i="43"/>
  <c r="E186" i="43"/>
  <c r="G187" i="43"/>
  <c r="C186" i="43"/>
  <c r="G189" i="43"/>
  <c r="F186" i="43"/>
  <c r="E187" i="43"/>
  <c r="C185" i="43"/>
  <c r="D189" i="43"/>
  <c r="G188" i="43"/>
  <c r="F189" i="43"/>
  <c r="D188" i="43"/>
  <c r="D186" i="43"/>
  <c r="C188" i="43"/>
  <c r="E69" i="45"/>
  <c r="E73" i="45"/>
  <c r="E71" i="45"/>
  <c r="E82" i="45"/>
  <c r="E74" i="45"/>
  <c r="E75" i="45"/>
  <c r="E89" i="45"/>
  <c r="E76" i="45"/>
  <c r="E66" i="45"/>
  <c r="E61" i="45"/>
  <c r="E85" i="45"/>
  <c r="E67" i="45"/>
  <c r="E72" i="45"/>
  <c r="E88" i="45"/>
  <c r="I89" i="45"/>
  <c r="I71" i="45"/>
  <c r="I82" i="45"/>
  <c r="I81" i="45"/>
  <c r="I87" i="45"/>
  <c r="I73" i="45"/>
  <c r="I67" i="45"/>
  <c r="I62" i="45"/>
  <c r="I69" i="45"/>
  <c r="I65" i="45"/>
  <c r="I72" i="45"/>
  <c r="I60" i="45"/>
  <c r="I80" i="45"/>
  <c r="I83" i="45"/>
  <c r="I74" i="45"/>
  <c r="I64" i="45"/>
  <c r="I61" i="45"/>
  <c r="I86" i="45"/>
  <c r="I76" i="45"/>
  <c r="I78" i="45"/>
  <c r="I68" i="45"/>
  <c r="I79" i="45"/>
  <c r="I66" i="45"/>
  <c r="I88" i="45"/>
  <c r="C74" i="45"/>
  <c r="C62" i="45"/>
  <c r="C64" i="45"/>
  <c r="C76" i="45"/>
  <c r="C73" i="45"/>
  <c r="C88" i="45"/>
  <c r="C60" i="45"/>
  <c r="C77" i="45"/>
  <c r="C67" i="45"/>
  <c r="C70" i="45"/>
  <c r="C87" i="45"/>
  <c r="C80" i="45"/>
  <c r="C82" i="45"/>
  <c r="C63" i="45"/>
  <c r="C66" i="45"/>
  <c r="C75" i="45"/>
  <c r="C84" i="45"/>
  <c r="C85" i="45"/>
  <c r="C65" i="45"/>
  <c r="C61" i="45"/>
  <c r="C72" i="45"/>
  <c r="E127" i="48"/>
  <c r="F127" i="48"/>
  <c r="F126" i="48"/>
  <c r="F125" i="48"/>
  <c r="F124" i="48"/>
  <c r="D125" i="48"/>
  <c r="C126" i="48"/>
  <c r="C125" i="48"/>
  <c r="E124" i="48"/>
  <c r="D124" i="48"/>
  <c r="E126" i="48"/>
  <c r="E125" i="48"/>
  <c r="D127" i="48"/>
  <c r="E567" i="45"/>
  <c r="C159" i="51"/>
  <c r="D110" i="48"/>
  <c r="C66" i="53"/>
  <c r="D227" i="53"/>
  <c r="D99" i="53"/>
  <c r="I95" i="44"/>
  <c r="H96" i="44"/>
  <c r="G93" i="44"/>
  <c r="D96" i="44"/>
  <c r="E90" i="48"/>
  <c r="C89" i="45"/>
  <c r="C124" i="48"/>
  <c r="J51" i="39"/>
  <c r="L51" i="39"/>
  <c r="K49" i="39"/>
  <c r="K51" i="39"/>
  <c r="L49" i="39"/>
  <c r="L50" i="39"/>
  <c r="G65" i="41"/>
  <c r="G67" i="41"/>
  <c r="H67" i="41"/>
  <c r="H66" i="41"/>
  <c r="H68" i="41"/>
  <c r="H65" i="41"/>
  <c r="I68" i="41"/>
  <c r="I65" i="41"/>
  <c r="I67" i="41"/>
  <c r="F90" i="43"/>
  <c r="F99" i="43"/>
  <c r="F104" i="43"/>
  <c r="F96" i="43"/>
  <c r="F81" i="43"/>
  <c r="F85" i="43"/>
  <c r="F102" i="43"/>
  <c r="F92" i="43"/>
  <c r="F109" i="43"/>
  <c r="F108" i="43"/>
  <c r="F101" i="43"/>
  <c r="F88" i="43"/>
  <c r="F106" i="43"/>
  <c r="F89" i="43"/>
  <c r="F91" i="43"/>
  <c r="F93" i="43"/>
  <c r="F98" i="43"/>
  <c r="F86" i="43"/>
  <c r="F94" i="43"/>
  <c r="F83" i="43"/>
  <c r="F80" i="43"/>
  <c r="F82" i="43"/>
  <c r="F105" i="43"/>
  <c r="F100" i="43"/>
  <c r="E100" i="43"/>
  <c r="E98" i="43"/>
  <c r="E97" i="43"/>
  <c r="E96" i="43"/>
  <c r="E89" i="43"/>
  <c r="E91" i="43"/>
  <c r="E102" i="43"/>
  <c r="E90" i="43"/>
  <c r="E94" i="43"/>
  <c r="E87" i="43"/>
  <c r="E84" i="43"/>
  <c r="E85" i="43"/>
  <c r="E80" i="43"/>
  <c r="E95" i="43"/>
  <c r="E81" i="43"/>
  <c r="E111" i="43" s="1"/>
  <c r="E83" i="43"/>
  <c r="E107" i="43"/>
  <c r="E86" i="43"/>
  <c r="E103" i="43"/>
  <c r="E106" i="43"/>
  <c r="E108" i="43"/>
  <c r="E92" i="43"/>
  <c r="E82" i="43"/>
  <c r="E93" i="43"/>
  <c r="E99" i="43"/>
  <c r="E101" i="43"/>
  <c r="D60" i="45"/>
  <c r="D68" i="45"/>
  <c r="D87" i="45"/>
  <c r="D69" i="45"/>
  <c r="D80" i="45"/>
  <c r="D66" i="45"/>
  <c r="D75" i="45"/>
  <c r="D72" i="45"/>
  <c r="D83" i="45"/>
  <c r="D89" i="45"/>
  <c r="D85" i="45"/>
  <c r="D79" i="45"/>
  <c r="D65" i="45"/>
  <c r="D71" i="45"/>
  <c r="D61" i="45"/>
  <c r="D81" i="45"/>
  <c r="D84" i="45"/>
  <c r="D70" i="45"/>
  <c r="D78" i="45"/>
  <c r="D82" i="45"/>
  <c r="D76" i="45"/>
  <c r="D63" i="45"/>
  <c r="D73" i="45"/>
  <c r="D141" i="52"/>
  <c r="D105" i="52"/>
  <c r="D137" i="52"/>
  <c r="D126" i="52"/>
  <c r="D122" i="52"/>
  <c r="D94" i="52"/>
  <c r="D96" i="52"/>
  <c r="D104" i="52"/>
  <c r="D112" i="52"/>
  <c r="D120" i="52"/>
  <c r="D128" i="52"/>
  <c r="D136" i="52"/>
  <c r="D144" i="52"/>
  <c r="D95" i="52"/>
  <c r="D103" i="52"/>
  <c r="D111" i="52"/>
  <c r="D119" i="52"/>
  <c r="D127" i="52"/>
  <c r="D135" i="52"/>
  <c r="D143" i="52"/>
  <c r="D121" i="52"/>
  <c r="D118" i="52"/>
  <c r="D130" i="52"/>
  <c r="D92" i="52"/>
  <c r="D124" i="52"/>
  <c r="D99" i="52"/>
  <c r="D131" i="52"/>
  <c r="D129" i="52"/>
  <c r="D142" i="52"/>
  <c r="D106" i="52"/>
  <c r="D93" i="52"/>
  <c r="D109" i="52"/>
  <c r="D125" i="52"/>
  <c r="D91" i="52"/>
  <c r="D115" i="52"/>
  <c r="D139" i="52"/>
  <c r="D102" i="52"/>
  <c r="D147" i="52"/>
  <c r="D114" i="52"/>
  <c r="D116" i="52"/>
  <c r="D140" i="52"/>
  <c r="D107" i="52"/>
  <c r="D97" i="52"/>
  <c r="D117" i="52"/>
  <c r="D100" i="52"/>
  <c r="D113" i="52"/>
  <c r="F174" i="52" s="1"/>
  <c r="E175" i="52" s="1"/>
  <c r="D98" i="52"/>
  <c r="D101" i="52"/>
  <c r="C241" i="48"/>
  <c r="C278" i="48" s="1"/>
  <c r="C240" i="48"/>
  <c r="C277" i="48" s="1"/>
  <c r="C251" i="48"/>
  <c r="C288" i="48" s="1"/>
  <c r="C259" i="48"/>
  <c r="C296" i="48" s="1"/>
  <c r="C88" i="57"/>
  <c r="C89" i="57" s="1"/>
  <c r="D228" i="53"/>
  <c r="D264" i="53"/>
  <c r="H48" i="46"/>
  <c r="H22" i="46" s="1" a="1"/>
  <c r="H22" i="46" s="1"/>
  <c r="H23" i="46" s="1"/>
  <c r="E62" i="53"/>
  <c r="C563" i="45"/>
  <c r="D566" i="45"/>
  <c r="C568" i="45"/>
  <c r="E568" i="45" s="1"/>
  <c r="E189" i="43"/>
  <c r="E77" i="45"/>
  <c r="G186" i="43"/>
  <c r="E169" i="51"/>
  <c r="C70" i="55"/>
  <c r="B69" i="55"/>
  <c r="D70" i="55"/>
  <c r="B70" i="55"/>
  <c r="C69" i="55"/>
  <c r="E423" i="55"/>
  <c r="D105" i="54"/>
  <c r="D108" i="54"/>
  <c r="C101" i="55"/>
  <c r="C104" i="55"/>
  <c r="C100" i="55"/>
  <c r="C105" i="55"/>
  <c r="H91" i="44"/>
  <c r="L91" i="44"/>
  <c r="J92" i="44"/>
  <c r="E95" i="44"/>
  <c r="D92" i="44"/>
  <c r="I96" i="44"/>
  <c r="L94" i="44"/>
  <c r="D93" i="44"/>
  <c r="C95" i="44"/>
  <c r="D119" i="54"/>
  <c r="E62" i="45"/>
  <c r="I66" i="41"/>
  <c r="L233" i="45"/>
  <c r="E104" i="43"/>
  <c r="I63" i="45"/>
  <c r="F107" i="43"/>
  <c r="D77" i="45"/>
  <c r="D123" i="51"/>
  <c r="D134" i="51"/>
  <c r="B508" i="52"/>
  <c r="A509" i="52"/>
  <c r="D123" i="52"/>
  <c r="D108" i="52"/>
  <c r="D134" i="52"/>
  <c r="C177" i="52" s="1"/>
  <c r="E66" i="48"/>
  <c r="I234" i="45"/>
  <c r="G66" i="41"/>
  <c r="C230" i="45"/>
  <c r="E425" i="55"/>
  <c r="F43" i="41" a="1"/>
  <c r="F43" i="41" s="1"/>
  <c r="C166" i="50"/>
  <c r="J32" i="41" a="1"/>
  <c r="D114" i="53"/>
  <c r="E114" i="53" s="1"/>
  <c r="D95" i="48"/>
  <c r="J37" i="41" a="1"/>
  <c r="F95" i="48"/>
  <c r="C90" i="38"/>
  <c r="B90" i="38"/>
  <c r="C96" i="43"/>
  <c r="C80" i="43"/>
  <c r="C106" i="43"/>
  <c r="C105" i="43"/>
  <c r="C84" i="43"/>
  <c r="C93" i="43"/>
  <c r="C104" i="43"/>
  <c r="K65" i="45"/>
  <c r="K74" i="45"/>
  <c r="K86" i="45"/>
  <c r="K68" i="45"/>
  <c r="K64" i="45"/>
  <c r="K72" i="45"/>
  <c r="K75" i="45"/>
  <c r="G61" i="45"/>
  <c r="G83" i="45"/>
  <c r="G70" i="45"/>
  <c r="D102" i="50"/>
  <c r="D134" i="50"/>
  <c r="D112" i="50"/>
  <c r="D144" i="50"/>
  <c r="D113" i="50"/>
  <c r="D145" i="50"/>
  <c r="D125" i="50"/>
  <c r="D108" i="50"/>
  <c r="D127" i="50"/>
  <c r="D130" i="50"/>
  <c r="D131" i="50"/>
  <c r="D132" i="50"/>
  <c r="D139" i="50"/>
  <c r="D122" i="50"/>
  <c r="C94" i="43"/>
  <c r="K82" i="45"/>
  <c r="K73" i="45"/>
  <c r="G68" i="45"/>
  <c r="G64" i="45"/>
  <c r="C100" i="43"/>
  <c r="C102" i="43"/>
  <c r="C95" i="43"/>
  <c r="D80" i="56"/>
  <c r="D73" i="56"/>
  <c r="C119" i="56" s="1"/>
  <c r="C172" i="56" s="1"/>
  <c r="E174" i="52"/>
  <c r="D119" i="50"/>
  <c r="F180" i="50" s="1"/>
  <c r="E181" i="50" s="1"/>
  <c r="D107" i="50"/>
  <c r="D147" i="50"/>
  <c r="D114" i="50"/>
  <c r="D140" i="50"/>
  <c r="F183" i="50" s="1"/>
  <c r="D133" i="50"/>
  <c r="D137" i="50"/>
  <c r="F184" i="50" s="1"/>
  <c r="D97" i="50"/>
  <c r="D120" i="50"/>
  <c r="D126" i="50"/>
  <c r="C90" i="43"/>
  <c r="C108" i="43"/>
  <c r="K70" i="45"/>
  <c r="G88" i="45"/>
  <c r="D84" i="43"/>
  <c r="D108" i="43"/>
  <c r="D82" i="43"/>
  <c r="D111" i="43" s="1"/>
  <c r="D80" i="43"/>
  <c r="D106" i="43"/>
  <c r="D91" i="43"/>
  <c r="D83" i="43"/>
  <c r="D86" i="43"/>
  <c r="B67" i="39" a="1"/>
  <c r="G11" i="40"/>
  <c r="H14" i="40"/>
  <c r="D64" i="45"/>
  <c r="D67" i="45"/>
  <c r="H76" i="45"/>
  <c r="H71" i="45"/>
  <c r="H67" i="45"/>
  <c r="L65" i="45"/>
  <c r="L69" i="45"/>
  <c r="L87" i="45"/>
  <c r="J87" i="45"/>
  <c r="J72" i="45"/>
  <c r="J92" i="45" s="1"/>
  <c r="B46" i="40"/>
  <c r="K72" i="44"/>
  <c r="H74" i="44"/>
  <c r="C49" i="40"/>
  <c r="H68" i="44"/>
  <c r="H27" i="42"/>
  <c r="J27" i="42" s="1" a="1"/>
  <c r="F63" i="45"/>
  <c r="F93" i="45" s="1"/>
  <c r="G75" i="44"/>
  <c r="C54" i="54"/>
  <c r="D110" i="54" s="1"/>
  <c r="K395" i="55"/>
  <c r="G72" i="45"/>
  <c r="G74" i="44"/>
  <c r="J399" i="55"/>
  <c r="D423" i="55" s="1"/>
  <c r="C47" i="56"/>
  <c r="C75" i="56" s="1"/>
  <c r="E439" i="55"/>
  <c r="C162" i="52"/>
  <c r="L29" i="42"/>
  <c r="J27" i="42"/>
  <c r="L27" i="42"/>
  <c r="J28" i="42"/>
  <c r="C116" i="38"/>
  <c r="B117" i="38" a="1"/>
  <c r="E199" i="55"/>
  <c r="D113" i="54"/>
  <c r="D106" i="54"/>
  <c r="B424" i="45"/>
  <c r="C424" i="45" s="1"/>
  <c r="D424" i="45" s="1"/>
  <c r="C114" i="57"/>
  <c r="C115" i="57" s="1"/>
  <c r="E109" i="55"/>
  <c r="E108" i="55"/>
  <c r="E107" i="55"/>
  <c r="D103" i="54"/>
  <c r="C103" i="54"/>
  <c r="C156" i="54" s="1"/>
  <c r="C109" i="54"/>
  <c r="C162" i="54" s="1"/>
  <c r="D121" i="54"/>
  <c r="C121" i="54"/>
  <c r="D164" i="54" s="1"/>
  <c r="C114" i="54"/>
  <c r="D157" i="54" s="1"/>
  <c r="D114" i="54"/>
  <c r="C104" i="54"/>
  <c r="C157" i="54" s="1"/>
  <c r="D104" i="54"/>
  <c r="F45" i="41"/>
  <c r="D118" i="54"/>
  <c r="C118" i="54"/>
  <c r="D161" i="54" s="1"/>
  <c r="E424" i="55"/>
  <c r="D109" i="54"/>
  <c r="B60" i="55"/>
  <c r="C68" i="55"/>
  <c r="C97" i="55"/>
  <c r="B114" i="55" s="1" a="1"/>
  <c r="D60" i="55"/>
  <c r="B412" i="51"/>
  <c r="B413" i="51" s="1"/>
  <c r="B414" i="51" s="1"/>
  <c r="B415" i="51" s="1"/>
  <c r="B416" i="51" s="1"/>
  <c r="B417" i="51" s="1"/>
  <c r="B418" i="51" s="1"/>
  <c r="B419" i="51" s="1"/>
  <c r="B420" i="51" s="1"/>
  <c r="B421" i="51" s="1"/>
  <c r="B422" i="51" s="1"/>
  <c r="B423" i="51" s="1"/>
  <c r="B424" i="51" s="1"/>
  <c r="B425" i="51" s="1"/>
  <c r="B426" i="51" s="1"/>
  <c r="B427" i="51" s="1"/>
  <c r="B428" i="51" s="1"/>
  <c r="B429" i="51" s="1"/>
  <c r="B430" i="51" s="1"/>
  <c r="B431" i="51" s="1"/>
  <c r="B432" i="51" s="1"/>
  <c r="B433" i="51" s="1"/>
  <c r="B434" i="51" s="1"/>
  <c r="B435" i="51" s="1"/>
  <c r="B436" i="51" s="1"/>
  <c r="B437" i="51" s="1"/>
  <c r="B438" i="51" s="1"/>
  <c r="B439" i="51" s="1"/>
  <c r="B440" i="51" s="1"/>
  <c r="B441" i="51" s="1"/>
  <c r="B442" i="51" s="1"/>
  <c r="B443" i="51" s="1"/>
  <c r="B444" i="51" s="1"/>
  <c r="C58" i="55"/>
  <c r="D58" i="55"/>
  <c r="G45" i="42"/>
  <c r="I45" i="42"/>
  <c r="E64" i="45"/>
  <c r="E79" i="45"/>
  <c r="C81" i="45"/>
  <c r="C69" i="45"/>
  <c r="B117" i="53"/>
  <c r="K32" i="41"/>
  <c r="C161" i="52"/>
  <c r="J46" i="42"/>
  <c r="E80" i="45"/>
  <c r="C83" i="45"/>
  <c r="B69" i="38"/>
  <c r="B75" i="38" s="1" a="1"/>
  <c r="G76" i="45"/>
  <c r="G62" i="45"/>
  <c r="G81" i="45"/>
  <c r="I32" i="39"/>
  <c r="F95" i="43"/>
  <c r="F87" i="43"/>
  <c r="F111" i="43" s="1"/>
  <c r="E104" i="48"/>
  <c r="H44" i="42"/>
  <c r="G84" i="45"/>
  <c r="G75" i="45"/>
  <c r="E180" i="50"/>
  <c r="L33" i="41"/>
  <c r="G44" i="42"/>
  <c r="F110" i="48"/>
  <c r="E70" i="45"/>
  <c r="H45" i="42"/>
  <c r="G78" i="45"/>
  <c r="C79" i="45"/>
  <c r="D90" i="38"/>
  <c r="D46" i="40"/>
  <c r="E46" i="40"/>
  <c r="G87" i="43"/>
  <c r="G82" i="43"/>
  <c r="H66" i="45"/>
  <c r="H94" i="45" s="1"/>
  <c r="H84" i="45"/>
  <c r="D75" i="56"/>
  <c r="C127" i="48"/>
  <c r="I44" i="42"/>
  <c r="E87" i="45"/>
  <c r="C99" i="44" a="1"/>
  <c r="C183" i="50"/>
  <c r="J34" i="41"/>
  <c r="D126" i="48"/>
  <c r="G46" i="42"/>
  <c r="C154" i="47"/>
  <c r="C196" i="47" s="1"/>
  <c r="C291" i="47" s="1"/>
  <c r="C148" i="47"/>
  <c r="C190" i="47" s="1"/>
  <c r="I43" i="42"/>
  <c r="I46" i="42"/>
  <c r="J43" i="42"/>
  <c r="K61" i="45"/>
  <c r="K77" i="45"/>
  <c r="K87" i="45"/>
  <c r="E398" i="45"/>
  <c r="C393" i="45"/>
  <c r="F399" i="45"/>
  <c r="L394" i="45"/>
  <c r="L390" i="45"/>
  <c r="C407" i="45" s="1" a="1"/>
  <c r="F392" i="45"/>
  <c r="G396" i="45"/>
  <c r="G392" i="45"/>
  <c r="D116" i="53"/>
  <c r="G13" i="40"/>
  <c r="E65" i="45"/>
  <c r="C78" i="45"/>
  <c r="G43" i="42"/>
  <c r="J44" i="42"/>
  <c r="G67" i="45"/>
  <c r="E78" i="45"/>
  <c r="H43" i="42"/>
  <c r="E105" i="43"/>
  <c r="E88" i="43"/>
  <c r="E86" i="45"/>
  <c r="E69" i="48"/>
  <c r="G70" i="44"/>
  <c r="C56" i="56"/>
  <c r="J405" i="55"/>
  <c r="E53" i="53"/>
  <c r="I399" i="55"/>
  <c r="C423" i="55" s="1"/>
  <c r="I404" i="55"/>
  <c r="C424" i="55" s="1"/>
  <c r="J404" i="55"/>
  <c r="D424" i="55" s="1"/>
  <c r="C53" i="57"/>
  <c r="C55" i="57" s="1"/>
  <c r="E184" i="50" l="1"/>
  <c r="D184" i="50" a="1"/>
  <c r="D184" i="50" s="1"/>
  <c r="G183" i="50" a="1"/>
  <c r="E173" i="51"/>
  <c r="D173" i="51" s="1"/>
  <c r="G172" i="51" a="1"/>
  <c r="C172" i="54"/>
  <c r="C255" i="47"/>
  <c r="F181" i="50"/>
  <c r="G180" i="50" s="1" a="1"/>
  <c r="D168" i="50"/>
  <c r="F172" i="52"/>
  <c r="C171" i="52"/>
  <c r="D160" i="52"/>
  <c r="D93" i="45"/>
  <c r="D94" i="45"/>
  <c r="C67" i="53"/>
  <c r="C237" i="53"/>
  <c r="C238" i="53" s="1"/>
  <c r="H32" i="46" a="1"/>
  <c r="H32" i="46" s="1"/>
  <c r="H33" i="46" s="1"/>
  <c r="I92" i="45"/>
  <c r="I93" i="45"/>
  <c r="B437" i="50"/>
  <c r="A438" i="50"/>
  <c r="D158" i="51"/>
  <c r="F170" i="51"/>
  <c r="F169" i="51"/>
  <c r="E170" i="51" s="1"/>
  <c r="C169" i="51"/>
  <c r="F175" i="51"/>
  <c r="E176" i="51" s="1"/>
  <c r="F176" i="51"/>
  <c r="D160" i="51"/>
  <c r="D92" i="45"/>
  <c r="L94" i="45"/>
  <c r="L92" i="45"/>
  <c r="C175" i="51"/>
  <c r="F177" i="50"/>
  <c r="F178" i="50"/>
  <c r="D166" i="50"/>
  <c r="G174" i="52" a="1"/>
  <c r="D175" i="52"/>
  <c r="D253" i="52" s="1"/>
  <c r="F171" i="52"/>
  <c r="L93" i="45"/>
  <c r="C266" i="48"/>
  <c r="C303" i="48" s="1"/>
  <c r="C243" i="48"/>
  <c r="C280" i="48" s="1"/>
  <c r="C250" i="48"/>
  <c r="C287" i="48" s="1"/>
  <c r="C244" i="48"/>
  <c r="C281" i="48" s="1"/>
  <c r="C249" i="48"/>
  <c r="C286" i="48" s="1"/>
  <c r="C258" i="48"/>
  <c r="C295" i="48" s="1"/>
  <c r="C247" i="48"/>
  <c r="C284" i="48" s="1"/>
  <c r="C252" i="48"/>
  <c r="C289" i="48" s="1"/>
  <c r="C261" i="48"/>
  <c r="C298" i="48" s="1"/>
  <c r="C253" i="48"/>
  <c r="C290" i="48" s="1"/>
  <c r="C246" i="48"/>
  <c r="C283" i="48" s="1"/>
  <c r="C265" i="48"/>
  <c r="C302" i="48" s="1"/>
  <c r="C254" i="48"/>
  <c r="C291" i="48" s="1"/>
  <c r="C245" i="48"/>
  <c r="C282" i="48" s="1"/>
  <c r="C242" i="48"/>
  <c r="C279" i="48" s="1"/>
  <c r="C256" i="48"/>
  <c r="C293" i="48" s="1"/>
  <c r="A569" i="51"/>
  <c r="B568" i="51"/>
  <c r="F173" i="51"/>
  <c r="C177" i="50"/>
  <c r="C437" i="50" s="1"/>
  <c r="D437" i="50" s="1"/>
  <c r="D69" i="39"/>
  <c r="C67" i="39"/>
  <c r="B67" i="39"/>
  <c r="E67" i="39"/>
  <c r="C69" i="39"/>
  <c r="E69" i="39"/>
  <c r="B69" i="39"/>
  <c r="D68" i="39"/>
  <c r="B68" i="39"/>
  <c r="E68" i="39"/>
  <c r="C68" i="39"/>
  <c r="D67" i="39"/>
  <c r="C112" i="43"/>
  <c r="C111" i="43"/>
  <c r="F92" i="45"/>
  <c r="C73" i="56"/>
  <c r="F94" i="45"/>
  <c r="C110" i="54"/>
  <c r="C163" i="54" s="1"/>
  <c r="C260" i="48"/>
  <c r="C297" i="48" s="1"/>
  <c r="D162" i="52"/>
  <c r="F178" i="52"/>
  <c r="M507" i="52" s="1"/>
  <c r="N507" i="52" s="1"/>
  <c r="F177" i="52"/>
  <c r="D161" i="52"/>
  <c r="C174" i="52"/>
  <c r="C263" i="48"/>
  <c r="C300" i="48" s="1"/>
  <c r="C255" i="48"/>
  <c r="C292" i="48" s="1"/>
  <c r="E565" i="45"/>
  <c r="J94" i="45"/>
  <c r="C172" i="51"/>
  <c r="I94" i="45"/>
  <c r="C275" i="53"/>
  <c r="D167" i="50"/>
  <c r="C128" i="56"/>
  <c r="C176" i="56" s="1"/>
  <c r="F44" i="41"/>
  <c r="C119" i="44" a="1"/>
  <c r="L128" i="44" s="1"/>
  <c r="J29" i="42"/>
  <c r="K28" i="42"/>
  <c r="L28" i="42"/>
  <c r="K29" i="42"/>
  <c r="K27" i="42"/>
  <c r="D112" i="43"/>
  <c r="J38" i="41"/>
  <c r="J39" i="41"/>
  <c r="K39" i="41"/>
  <c r="L39" i="41"/>
  <c r="K37" i="41"/>
  <c r="K38" i="41"/>
  <c r="L37" i="41"/>
  <c r="L38" i="41"/>
  <c r="J37" i="41"/>
  <c r="J32" i="41"/>
  <c r="J33" i="41"/>
  <c r="K34" i="41"/>
  <c r="L34" i="41"/>
  <c r="K33" i="41"/>
  <c r="L32" i="41"/>
  <c r="C180" i="50"/>
  <c r="B509" i="52"/>
  <c r="M509" i="52" s="1"/>
  <c r="N509" i="52" s="1"/>
  <c r="A510" i="52"/>
  <c r="C248" i="48"/>
  <c r="C285" i="48" s="1"/>
  <c r="B77" i="41" a="1"/>
  <c r="D229" i="53"/>
  <c r="C237" i="48"/>
  <c r="C274" i="48" s="1"/>
  <c r="C264" i="48"/>
  <c r="C301" i="48" s="1"/>
  <c r="C276" i="53"/>
  <c r="E566" i="45"/>
  <c r="F175" i="52"/>
  <c r="D415" i="45"/>
  <c r="D436" i="45" s="1"/>
  <c r="F416" i="45"/>
  <c r="F437" i="45" s="1"/>
  <c r="L411" i="45"/>
  <c r="L432" i="45" s="1"/>
  <c r="I412" i="45"/>
  <c r="I433" i="45" s="1"/>
  <c r="H412" i="45"/>
  <c r="H433" i="45" s="1"/>
  <c r="L413" i="45"/>
  <c r="L434" i="45" s="1"/>
  <c r="L412" i="45"/>
  <c r="L433" i="45" s="1"/>
  <c r="C410" i="45"/>
  <c r="C431" i="45" s="1"/>
  <c r="J409" i="45"/>
  <c r="J430" i="45" s="1"/>
  <c r="F415" i="45"/>
  <c r="F436" i="45" s="1"/>
  <c r="F414" i="45"/>
  <c r="F435" i="45" s="1"/>
  <c r="J416" i="45"/>
  <c r="J437" i="45" s="1"/>
  <c r="E415" i="45"/>
  <c r="E436" i="45" s="1"/>
  <c r="C416" i="45"/>
  <c r="C437" i="45" s="1"/>
  <c r="D416" i="45"/>
  <c r="D437" i="45" s="1"/>
  <c r="L414" i="45"/>
  <c r="L435" i="45" s="1"/>
  <c r="K407" i="45"/>
  <c r="K428" i="45" s="1"/>
  <c r="K415" i="45"/>
  <c r="K436" i="45" s="1"/>
  <c r="H415" i="45"/>
  <c r="H436" i="45" s="1"/>
  <c r="F412" i="45"/>
  <c r="F433" i="45" s="1"/>
  <c r="E413" i="45"/>
  <c r="E434" i="45" s="1"/>
  <c r="J412" i="45"/>
  <c r="J433" i="45" s="1"/>
  <c r="J410" i="45"/>
  <c r="J431" i="45" s="1"/>
  <c r="C407" i="45"/>
  <c r="C428" i="45" s="1"/>
  <c r="C409" i="45"/>
  <c r="C430" i="45" s="1"/>
  <c r="I414" i="45"/>
  <c r="I435" i="45" s="1"/>
  <c r="K413" i="45"/>
  <c r="K434" i="45" s="1"/>
  <c r="J413" i="45"/>
  <c r="J434" i="45" s="1"/>
  <c r="K412" i="45"/>
  <c r="K433" i="45" s="1"/>
  <c r="G414" i="45"/>
  <c r="G435" i="45" s="1"/>
  <c r="F409" i="45"/>
  <c r="F430" i="45" s="1"/>
  <c r="K408" i="45"/>
  <c r="K429" i="45" s="1"/>
  <c r="C414" i="45"/>
  <c r="C435" i="45" s="1"/>
  <c r="C413" i="45"/>
  <c r="C434" i="45" s="1"/>
  <c r="G408" i="45"/>
  <c r="G429" i="45" s="1"/>
  <c r="C415" i="45"/>
  <c r="C436" i="45" s="1"/>
  <c r="K414" i="45"/>
  <c r="K435" i="45" s="1"/>
  <c r="C412" i="45"/>
  <c r="C433" i="45" s="1"/>
  <c r="H411" i="45"/>
  <c r="H432" i="45" s="1"/>
  <c r="C408" i="45"/>
  <c r="C429" i="45" s="1"/>
  <c r="H409" i="45"/>
  <c r="H430" i="45" s="1"/>
  <c r="G411" i="45"/>
  <c r="G432" i="45" s="1"/>
  <c r="E410" i="45"/>
  <c r="E431" i="45" s="1"/>
  <c r="F408" i="45"/>
  <c r="F429" i="45" s="1"/>
  <c r="K416" i="45"/>
  <c r="K437" i="45" s="1"/>
  <c r="L407" i="45"/>
  <c r="L428" i="45" s="1"/>
  <c r="G413" i="45"/>
  <c r="G434" i="45" s="1"/>
  <c r="I410" i="45"/>
  <c r="I431" i="45" s="1"/>
  <c r="G410" i="45"/>
  <c r="G431" i="45" s="1"/>
  <c r="D412" i="45"/>
  <c r="D433" i="45" s="1"/>
  <c r="H407" i="45"/>
  <c r="H428" i="45" s="1"/>
  <c r="E411" i="45"/>
  <c r="E432" i="45" s="1"/>
  <c r="H408" i="45"/>
  <c r="H429" i="45" s="1"/>
  <c r="L410" i="45"/>
  <c r="L431" i="45" s="1"/>
  <c r="D410" i="45"/>
  <c r="D431" i="45" s="1"/>
  <c r="E408" i="45"/>
  <c r="E429" i="45" s="1"/>
  <c r="K410" i="45"/>
  <c r="K431" i="45" s="1"/>
  <c r="F410" i="45"/>
  <c r="F431" i="45" s="1"/>
  <c r="H416" i="45"/>
  <c r="H437" i="45" s="1"/>
  <c r="L408" i="45"/>
  <c r="L429" i="45" s="1"/>
  <c r="G409" i="45"/>
  <c r="G430" i="45" s="1"/>
  <c r="I415" i="45"/>
  <c r="I436" i="45" s="1"/>
  <c r="D409" i="45"/>
  <c r="D430" i="45" s="1"/>
  <c r="F411" i="45"/>
  <c r="F432" i="45" s="1"/>
  <c r="C411" i="45"/>
  <c r="C432" i="45" s="1"/>
  <c r="D407" i="45"/>
  <c r="D428" i="45" s="1"/>
  <c r="I407" i="45"/>
  <c r="I428" i="45" s="1"/>
  <c r="K411" i="45"/>
  <c r="K432" i="45" s="1"/>
  <c r="J415" i="45"/>
  <c r="J436" i="45" s="1"/>
  <c r="E412" i="45"/>
  <c r="E433" i="45" s="1"/>
  <c r="F407" i="45"/>
  <c r="F428" i="45" s="1"/>
  <c r="J411" i="45"/>
  <c r="J432" i="45" s="1"/>
  <c r="I411" i="45"/>
  <c r="I432" i="45" s="1"/>
  <c r="D408" i="45"/>
  <c r="D429" i="45" s="1"/>
  <c r="D414" i="45"/>
  <c r="D435" i="45" s="1"/>
  <c r="I409" i="45"/>
  <c r="I430" i="45" s="1"/>
  <c r="H410" i="45"/>
  <c r="H431" i="45" s="1"/>
  <c r="G416" i="45"/>
  <c r="G437" i="45" s="1"/>
  <c r="L416" i="45"/>
  <c r="L437" i="45" s="1"/>
  <c r="K409" i="45"/>
  <c r="K430" i="45" s="1"/>
  <c r="E416" i="45"/>
  <c r="E437" i="45" s="1"/>
  <c r="E407" i="45"/>
  <c r="E428" i="45" s="1"/>
  <c r="H413" i="45"/>
  <c r="H434" i="45" s="1"/>
  <c r="D413" i="45"/>
  <c r="D434" i="45" s="1"/>
  <c r="G415" i="45"/>
  <c r="G436" i="45" s="1"/>
  <c r="H414" i="45"/>
  <c r="H435" i="45" s="1"/>
  <c r="J407" i="45"/>
  <c r="J428" i="45" s="1"/>
  <c r="I408" i="45"/>
  <c r="I429" i="45" s="1"/>
  <c r="I416" i="45"/>
  <c r="I437" i="45" s="1"/>
  <c r="L415" i="45"/>
  <c r="L436" i="45" s="1"/>
  <c r="L409" i="45"/>
  <c r="L430" i="45" s="1"/>
  <c r="G412" i="45"/>
  <c r="G433" i="45" s="1"/>
  <c r="G407" i="45"/>
  <c r="G428" i="45" s="1"/>
  <c r="F413" i="45"/>
  <c r="F434" i="45" s="1"/>
  <c r="E409" i="45"/>
  <c r="E430" i="45" s="1"/>
  <c r="J414" i="45"/>
  <c r="J435" i="45" s="1"/>
  <c r="J408" i="45"/>
  <c r="J429" i="45" s="1"/>
  <c r="E414" i="45"/>
  <c r="E435" i="45" s="1"/>
  <c r="D411" i="45"/>
  <c r="D432" i="45" s="1"/>
  <c r="I413" i="45"/>
  <c r="I434" i="45" s="1"/>
  <c r="C57" i="57" a="1"/>
  <c r="C57" i="57" s="1"/>
  <c r="C61" i="57" s="1"/>
  <c r="C63" i="57"/>
  <c r="C64" i="57" s="1"/>
  <c r="G121" i="44"/>
  <c r="I122" i="44"/>
  <c r="I125" i="44"/>
  <c r="H122" i="44"/>
  <c r="L126" i="44"/>
  <c r="F127" i="44"/>
  <c r="L125" i="44"/>
  <c r="E126" i="44"/>
  <c r="L124" i="44"/>
  <c r="I120" i="44"/>
  <c r="J126" i="44"/>
  <c r="J120" i="44"/>
  <c r="H127" i="44"/>
  <c r="D120" i="44"/>
  <c r="F120" i="44"/>
  <c r="E119" i="44"/>
  <c r="K126" i="44"/>
  <c r="G128" i="44"/>
  <c r="E122" i="44"/>
  <c r="K122" i="44"/>
  <c r="H119" i="44"/>
  <c r="G124" i="44"/>
  <c r="L122" i="44"/>
  <c r="L119" i="44"/>
  <c r="F121" i="44"/>
  <c r="E125" i="44"/>
  <c r="D125" i="44"/>
  <c r="J119" i="44"/>
  <c r="C123" i="44"/>
  <c r="F125" i="44"/>
  <c r="E120" i="44"/>
  <c r="H125" i="44"/>
  <c r="D126" i="44"/>
  <c r="G127" i="44"/>
  <c r="I121" i="44"/>
  <c r="D121" i="44"/>
  <c r="K121" i="44"/>
  <c r="J128" i="44"/>
  <c r="J123" i="44"/>
  <c r="G120" i="44"/>
  <c r="E127" i="44"/>
  <c r="K123" i="44"/>
  <c r="J125" i="44"/>
  <c r="C119" i="44"/>
  <c r="G123" i="44"/>
  <c r="I128" i="44"/>
  <c r="C124" i="44"/>
  <c r="H121" i="44"/>
  <c r="J124" i="44"/>
  <c r="G119" i="44"/>
  <c r="C277" i="53"/>
  <c r="E116" i="53"/>
  <c r="M508" i="52"/>
  <c r="N508" i="52" s="1"/>
  <c r="M505" i="52"/>
  <c r="N505" i="52" s="1"/>
  <c r="M506" i="52"/>
  <c r="N506" i="52" s="1"/>
  <c r="H101" i="44"/>
  <c r="I101" i="44"/>
  <c r="K104" i="44"/>
  <c r="G104" i="44"/>
  <c r="I108" i="44"/>
  <c r="F99" i="44"/>
  <c r="J108" i="44"/>
  <c r="C101" i="44"/>
  <c r="K106" i="44"/>
  <c r="C99" i="44"/>
  <c r="J99" i="44"/>
  <c r="J105" i="44"/>
  <c r="I100" i="44"/>
  <c r="F101" i="44"/>
  <c r="E99" i="44"/>
  <c r="I105" i="44"/>
  <c r="E104" i="44"/>
  <c r="F107" i="44"/>
  <c r="H107" i="44"/>
  <c r="E100" i="44"/>
  <c r="J106" i="44"/>
  <c r="D105" i="44"/>
  <c r="F106" i="44"/>
  <c r="H100" i="44"/>
  <c r="K100" i="44"/>
  <c r="G100" i="44"/>
  <c r="D104" i="44"/>
  <c r="I99" i="44"/>
  <c r="D99" i="44"/>
  <c r="E105" i="44"/>
  <c r="J104" i="44"/>
  <c r="G103" i="44"/>
  <c r="E103" i="44"/>
  <c r="I104" i="44"/>
  <c r="G99" i="44"/>
  <c r="L105" i="44"/>
  <c r="E107" i="44"/>
  <c r="L102" i="44"/>
  <c r="H102" i="44"/>
  <c r="K102" i="44"/>
  <c r="K101" i="44"/>
  <c r="J103" i="44"/>
  <c r="L107" i="44"/>
  <c r="C102" i="44"/>
  <c r="L103" i="44"/>
  <c r="F108" i="44"/>
  <c r="K108" i="44"/>
  <c r="L100" i="44"/>
  <c r="C103" i="44"/>
  <c r="F104" i="44"/>
  <c r="H103" i="44"/>
  <c r="C108" i="44"/>
  <c r="G107" i="44"/>
  <c r="G105" i="44"/>
  <c r="I102" i="44"/>
  <c r="L101" i="44"/>
  <c r="L99" i="44"/>
  <c r="F105" i="44"/>
  <c r="F100" i="44"/>
  <c r="C105" i="44"/>
  <c r="I106" i="44"/>
  <c r="E102" i="44"/>
  <c r="I107" i="44"/>
  <c r="D102" i="44"/>
  <c r="F103" i="44"/>
  <c r="H104" i="44"/>
  <c r="L104" i="44"/>
  <c r="L108" i="44"/>
  <c r="I103" i="44"/>
  <c r="H105" i="44"/>
  <c r="D100" i="44"/>
  <c r="K107" i="44"/>
  <c r="G108" i="44"/>
  <c r="H106" i="44"/>
  <c r="J102" i="44"/>
  <c r="G101" i="44"/>
  <c r="J100" i="44"/>
  <c r="G102" i="44"/>
  <c r="E108" i="44"/>
  <c r="J101" i="44"/>
  <c r="G106" i="44"/>
  <c r="C107" i="44"/>
  <c r="H108" i="44"/>
  <c r="E106" i="44"/>
  <c r="D107" i="44"/>
  <c r="H99" i="44"/>
  <c r="J107" i="44"/>
  <c r="C100" i="44"/>
  <c r="C106" i="44"/>
  <c r="L106" i="44"/>
  <c r="F102" i="44"/>
  <c r="D101" i="44"/>
  <c r="D103" i="44"/>
  <c r="D108" i="44"/>
  <c r="K105" i="44"/>
  <c r="D106" i="44"/>
  <c r="K99" i="44"/>
  <c r="C104" i="44"/>
  <c r="E101" i="44"/>
  <c r="K103" i="44"/>
  <c r="C436" i="50"/>
  <c r="D436" i="50" s="1"/>
  <c r="E55" i="53"/>
  <c r="E227" i="53"/>
  <c r="H93" i="45"/>
  <c r="D181" i="50"/>
  <c r="H437" i="50"/>
  <c r="I437" i="50" s="1"/>
  <c r="E94" i="45"/>
  <c r="E92" i="45"/>
  <c r="E93" i="45"/>
  <c r="D168" i="54"/>
  <c r="D166" i="54"/>
  <c r="D167" i="54"/>
  <c r="C114" i="55"/>
  <c r="B115" i="55"/>
  <c r="D115" i="55"/>
  <c r="B114" i="55"/>
  <c r="B116" i="55"/>
  <c r="D114" i="55"/>
  <c r="C116" i="55"/>
  <c r="D116" i="55"/>
  <c r="C115" i="55"/>
  <c r="K92" i="45"/>
  <c r="K94" i="45"/>
  <c r="K93" i="45"/>
  <c r="M436" i="50"/>
  <c r="N436" i="50" s="1"/>
  <c r="M437" i="50"/>
  <c r="N437" i="50" s="1"/>
  <c r="M435" i="50"/>
  <c r="N435" i="50" s="1"/>
  <c r="G93" i="45"/>
  <c r="G92" i="45"/>
  <c r="G94" i="45"/>
  <c r="B73" i="55" a="1"/>
  <c r="D497" i="51"/>
  <c r="D498" i="51" s="1"/>
  <c r="D499" i="51" s="1"/>
  <c r="D117" i="38"/>
  <c r="B117" i="38"/>
  <c r="C117" i="38"/>
  <c r="C80" i="56"/>
  <c r="B127" i="56" s="1"/>
  <c r="C78" i="56"/>
  <c r="C127" i="56"/>
  <c r="I104" i="48" a="1"/>
  <c r="E95" i="48"/>
  <c r="I110" i="48" s="1" a="1"/>
  <c r="E96" i="48"/>
  <c r="G111" i="43"/>
  <c r="G112" i="43"/>
  <c r="D117" i="53"/>
  <c r="C278" i="53" s="1"/>
  <c r="B118" i="53"/>
  <c r="C117" i="53"/>
  <c r="H92" i="45"/>
  <c r="C123" i="43" a="1"/>
  <c r="E112" i="43"/>
  <c r="C75" i="38"/>
  <c r="B75" i="38"/>
  <c r="D75" i="38"/>
  <c r="C94" i="45"/>
  <c r="C103" i="45" s="1" a="1"/>
  <c r="C92" i="45"/>
  <c r="C93" i="45"/>
  <c r="F112" i="43"/>
  <c r="C167" i="54"/>
  <c r="C166" i="54"/>
  <c r="C168" i="54"/>
  <c r="C116" i="48" a="1"/>
  <c r="H435" i="50"/>
  <c r="I435" i="50" s="1"/>
  <c r="A570" i="51" l="1"/>
  <c r="B569" i="51"/>
  <c r="B438" i="50"/>
  <c r="A439" i="50"/>
  <c r="H174" i="52"/>
  <c r="G174" i="52"/>
  <c r="H175" i="52"/>
  <c r="G175" i="52"/>
  <c r="M567" i="51"/>
  <c r="N567" i="51" s="1"/>
  <c r="M566" i="51"/>
  <c r="N566" i="51" s="1"/>
  <c r="M568" i="51"/>
  <c r="N568" i="51" s="1"/>
  <c r="E255" i="53"/>
  <c r="E254" i="53" s="1"/>
  <c r="E256" i="53" s="1"/>
  <c r="D255" i="53"/>
  <c r="D254" i="53" s="1"/>
  <c r="H173" i="51"/>
  <c r="G172" i="51"/>
  <c r="H172" i="51"/>
  <c r="G173" i="51"/>
  <c r="H436" i="50"/>
  <c r="I436" i="50" s="1"/>
  <c r="C435" i="50"/>
  <c r="D435" i="50" s="1"/>
  <c r="K128" i="44"/>
  <c r="H120" i="44"/>
  <c r="C126" i="44"/>
  <c r="J121" i="44"/>
  <c r="G125" i="44"/>
  <c r="F119" i="44"/>
  <c r="C139" i="44" s="1" a="1"/>
  <c r="J127" i="44"/>
  <c r="G122" i="44"/>
  <c r="H123" i="44"/>
  <c r="C127" i="44"/>
  <c r="F123" i="44"/>
  <c r="I126" i="44"/>
  <c r="H126" i="44"/>
  <c r="D122" i="44"/>
  <c r="E123" i="44"/>
  <c r="H128" i="44"/>
  <c r="E124" i="44"/>
  <c r="F126" i="44"/>
  <c r="C120" i="44"/>
  <c r="D128" i="44"/>
  <c r="K125" i="44"/>
  <c r="K119" i="44"/>
  <c r="E128" i="44"/>
  <c r="I127" i="44"/>
  <c r="J122" i="44"/>
  <c r="C346" i="48"/>
  <c r="D170" i="51"/>
  <c r="H505" i="52"/>
  <c r="I505" i="52" s="1"/>
  <c r="H508" i="52"/>
  <c r="I508" i="52" s="1"/>
  <c r="H507" i="52"/>
  <c r="I507" i="52" s="1"/>
  <c r="H506" i="52"/>
  <c r="I506" i="52" s="1"/>
  <c r="H509" i="52"/>
  <c r="I509" i="52" s="1"/>
  <c r="E178" i="52"/>
  <c r="G177" i="52" s="1" a="1"/>
  <c r="D176" i="51" a="1"/>
  <c r="D176" i="51" s="1"/>
  <c r="D85" i="53"/>
  <c r="D84" i="53" s="1"/>
  <c r="E85" i="53"/>
  <c r="E84" i="53" s="1"/>
  <c r="E86" i="53" s="1"/>
  <c r="C509" i="52"/>
  <c r="D509" i="52" s="1"/>
  <c r="C506" i="52"/>
  <c r="D506" i="52" s="1"/>
  <c r="C508" i="52"/>
  <c r="D508" i="52" s="1"/>
  <c r="C507" i="52"/>
  <c r="D507" i="52" s="1"/>
  <c r="C505" i="52"/>
  <c r="D505" i="52" s="1"/>
  <c r="C78" i="41"/>
  <c r="E77" i="41"/>
  <c r="C80" i="41"/>
  <c r="D78" i="41"/>
  <c r="D79" i="41"/>
  <c r="D80" i="41"/>
  <c r="E78" i="41"/>
  <c r="E80" i="41"/>
  <c r="B77" i="41"/>
  <c r="D77" i="41"/>
  <c r="C77" i="41"/>
  <c r="C79" i="41"/>
  <c r="B80" i="41"/>
  <c r="B79" i="41"/>
  <c r="B78" i="41"/>
  <c r="E79" i="41"/>
  <c r="A511" i="52"/>
  <c r="B510" i="52"/>
  <c r="H566" i="51"/>
  <c r="I566" i="51" s="1"/>
  <c r="H568" i="51"/>
  <c r="I568" i="51" s="1"/>
  <c r="H567" i="51"/>
  <c r="I567" i="51" s="1"/>
  <c r="E178" i="50"/>
  <c r="G177" i="50" s="1" a="1"/>
  <c r="H183" i="50"/>
  <c r="G183" i="50"/>
  <c r="H184" i="50"/>
  <c r="G184" i="50"/>
  <c r="E116" i="55" a="1"/>
  <c r="E116" i="55" s="1"/>
  <c r="E121" i="44"/>
  <c r="F128" i="44"/>
  <c r="F124" i="44"/>
  <c r="C125" i="44"/>
  <c r="F122" i="44"/>
  <c r="I123" i="44"/>
  <c r="L123" i="44"/>
  <c r="D123" i="44"/>
  <c r="K124" i="44"/>
  <c r="D119" i="44"/>
  <c r="I119" i="44"/>
  <c r="C128" i="44"/>
  <c r="I124" i="44"/>
  <c r="D124" i="44"/>
  <c r="L121" i="44"/>
  <c r="D127" i="44"/>
  <c r="C122" i="44"/>
  <c r="H124" i="44"/>
  <c r="G126" i="44"/>
  <c r="L120" i="44"/>
  <c r="C121" i="44"/>
  <c r="K120" i="44"/>
  <c r="K127" i="44"/>
  <c r="L127" i="44"/>
  <c r="G169" i="51" a="1"/>
  <c r="E172" i="52"/>
  <c r="G171" i="52" a="1"/>
  <c r="C566" i="51"/>
  <c r="D566" i="51" s="1"/>
  <c r="C567" i="51"/>
  <c r="D567" i="51" s="1"/>
  <c r="C568" i="51"/>
  <c r="D568" i="51" s="1"/>
  <c r="G175" i="51" a="1"/>
  <c r="D172" i="52"/>
  <c r="C253" i="52" s="1"/>
  <c r="L109" i="45"/>
  <c r="J112" i="45"/>
  <c r="F110" i="45"/>
  <c r="J106" i="45"/>
  <c r="I104" i="45"/>
  <c r="F112" i="45"/>
  <c r="L107" i="45"/>
  <c r="K109" i="45"/>
  <c r="L105" i="45"/>
  <c r="G109" i="45"/>
  <c r="L110" i="45"/>
  <c r="G104" i="45"/>
  <c r="D110" i="45"/>
  <c r="E104" i="45"/>
  <c r="L111" i="45"/>
  <c r="G105" i="45"/>
  <c r="H109" i="45"/>
  <c r="J110" i="45"/>
  <c r="H108" i="45"/>
  <c r="E107" i="45"/>
  <c r="I111" i="45"/>
  <c r="J107" i="45"/>
  <c r="L103" i="45"/>
  <c r="I103" i="45"/>
  <c r="J111" i="45"/>
  <c r="F103" i="45"/>
  <c r="J103" i="45"/>
  <c r="F104" i="45"/>
  <c r="I106" i="45"/>
  <c r="E103" i="45"/>
  <c r="D112" i="45"/>
  <c r="E112" i="45"/>
  <c r="G111" i="45"/>
  <c r="L104" i="45"/>
  <c r="K108" i="45"/>
  <c r="G110" i="45"/>
  <c r="L108" i="45"/>
  <c r="I110" i="45"/>
  <c r="K111" i="45"/>
  <c r="F109" i="45"/>
  <c r="F107" i="45"/>
  <c r="H103" i="45"/>
  <c r="J105" i="45"/>
  <c r="K104" i="45"/>
  <c r="E105" i="45"/>
  <c r="J108" i="45"/>
  <c r="D108" i="45"/>
  <c r="C105" i="45"/>
  <c r="C108" i="45"/>
  <c r="K103" i="45"/>
  <c r="H106" i="45"/>
  <c r="D106" i="45"/>
  <c r="G112" i="45"/>
  <c r="H112" i="45"/>
  <c r="K107" i="45"/>
  <c r="K110" i="45"/>
  <c r="F106" i="45"/>
  <c r="L112" i="45"/>
  <c r="E109" i="45"/>
  <c r="K112" i="45"/>
  <c r="C104" i="45"/>
  <c r="H104" i="45"/>
  <c r="E108" i="45"/>
  <c r="D107" i="45"/>
  <c r="L106" i="45"/>
  <c r="C112" i="45"/>
  <c r="E110" i="45"/>
  <c r="F108" i="45"/>
  <c r="I112" i="45"/>
  <c r="D109" i="45"/>
  <c r="H111" i="45"/>
  <c r="I108" i="45"/>
  <c r="E106" i="45"/>
  <c r="D103" i="45"/>
  <c r="G108" i="45"/>
  <c r="C110" i="45"/>
  <c r="D104" i="45"/>
  <c r="H107" i="45"/>
  <c r="H110" i="45"/>
  <c r="E111" i="45"/>
  <c r="H105" i="45"/>
  <c r="G107" i="45"/>
  <c r="G106" i="45"/>
  <c r="J104" i="45"/>
  <c r="G103" i="45"/>
  <c r="D105" i="45"/>
  <c r="C109" i="45"/>
  <c r="F105" i="45"/>
  <c r="C103" i="45"/>
  <c r="F111" i="45"/>
  <c r="K105" i="45"/>
  <c r="I109" i="45"/>
  <c r="I107" i="45"/>
  <c r="C107" i="45"/>
  <c r="C111" i="45"/>
  <c r="C106" i="45"/>
  <c r="I105" i="45"/>
  <c r="J109" i="45"/>
  <c r="D111" i="45"/>
  <c r="K106" i="45"/>
  <c r="D123" i="43"/>
  <c r="C124" i="43"/>
  <c r="C123" i="43"/>
  <c r="G124" i="43"/>
  <c r="D126" i="43"/>
  <c r="F124" i="43"/>
  <c r="F126" i="43"/>
  <c r="D127" i="43"/>
  <c r="E124" i="43"/>
  <c r="C126" i="43"/>
  <c r="G126" i="43"/>
  <c r="F123" i="43"/>
  <c r="G127" i="43"/>
  <c r="D125" i="43"/>
  <c r="G125" i="43"/>
  <c r="C125" i="43"/>
  <c r="F127" i="43"/>
  <c r="E126" i="43"/>
  <c r="F125" i="43"/>
  <c r="E127" i="43"/>
  <c r="E123" i="43"/>
  <c r="D124" i="43"/>
  <c r="E125" i="43"/>
  <c r="C127" i="43"/>
  <c r="G123" i="43"/>
  <c r="E117" i="53"/>
  <c r="B175" i="56"/>
  <c r="P437" i="50"/>
  <c r="O437" i="50"/>
  <c r="O505" i="52"/>
  <c r="P505" i="52"/>
  <c r="I104" i="48"/>
  <c r="L106" i="48"/>
  <c r="J106" i="48"/>
  <c r="L104" i="48"/>
  <c r="J105" i="48"/>
  <c r="I105" i="48"/>
  <c r="I106" i="48"/>
  <c r="K104" i="48"/>
  <c r="K107" i="48"/>
  <c r="L107" i="48"/>
  <c r="J107" i="48"/>
  <c r="I107" i="48"/>
  <c r="K106" i="48"/>
  <c r="J104" i="48"/>
  <c r="K105" i="48"/>
  <c r="L105" i="48"/>
  <c r="G180" i="50"/>
  <c r="H180" i="50"/>
  <c r="G181" i="50"/>
  <c r="H181" i="50"/>
  <c r="C118" i="53"/>
  <c r="D118" i="53"/>
  <c r="C279" i="53" s="1"/>
  <c r="B119" i="53"/>
  <c r="O436" i="50"/>
  <c r="P436" i="50"/>
  <c r="O508" i="52"/>
  <c r="P508" i="52"/>
  <c r="J436" i="50"/>
  <c r="K436" i="50"/>
  <c r="F435" i="50"/>
  <c r="E435" i="50"/>
  <c r="O506" i="52"/>
  <c r="P506" i="52"/>
  <c r="B118" i="56"/>
  <c r="B171" i="56" s="1"/>
  <c r="C118" i="56"/>
  <c r="O435" i="50"/>
  <c r="P435" i="50"/>
  <c r="C119" i="48"/>
  <c r="D118" i="48"/>
  <c r="E116" i="48"/>
  <c r="F119" i="48"/>
  <c r="E118" i="48"/>
  <c r="C116" i="48"/>
  <c r="F117" i="48"/>
  <c r="D119" i="48"/>
  <c r="D117" i="48"/>
  <c r="C117" i="48"/>
  <c r="D116" i="48"/>
  <c r="E117" i="48"/>
  <c r="F116" i="48"/>
  <c r="E119" i="48"/>
  <c r="F118" i="48"/>
  <c r="C118" i="48"/>
  <c r="C75" i="55"/>
  <c r="D75" i="55"/>
  <c r="B73" i="55"/>
  <c r="C74" i="55"/>
  <c r="D74" i="55"/>
  <c r="C73" i="55"/>
  <c r="B75" i="55"/>
  <c r="B74" i="55"/>
  <c r="D73" i="55"/>
  <c r="O507" i="52"/>
  <c r="P507" i="52"/>
  <c r="C180" i="54"/>
  <c r="C191" i="54" s="1"/>
  <c r="C192" i="54" s="1"/>
  <c r="C179" i="54"/>
  <c r="K437" i="50"/>
  <c r="J437" i="50"/>
  <c r="O509" i="52"/>
  <c r="P509" i="52"/>
  <c r="E437" i="50"/>
  <c r="F437" i="50"/>
  <c r="J435" i="50"/>
  <c r="K435" i="50"/>
  <c r="I112" i="48"/>
  <c r="I113" i="48"/>
  <c r="J110" i="48"/>
  <c r="I111" i="48"/>
  <c r="L111" i="48"/>
  <c r="K111" i="48"/>
  <c r="J111" i="48"/>
  <c r="I110" i="48"/>
  <c r="L112" i="48"/>
  <c r="J113" i="48"/>
  <c r="L110" i="48"/>
  <c r="K112" i="48"/>
  <c r="K110" i="48"/>
  <c r="L113" i="48"/>
  <c r="K113" i="48"/>
  <c r="J112" i="48"/>
  <c r="B128" i="56"/>
  <c r="B176" i="56" s="1"/>
  <c r="C175" i="56"/>
  <c r="C236" i="53"/>
  <c r="E229" i="53"/>
  <c r="F436" i="50"/>
  <c r="E436" i="50"/>
  <c r="G177" i="52" l="1"/>
  <c r="G178" i="52"/>
  <c r="H178" i="52"/>
  <c r="H177" i="52"/>
  <c r="H178" i="50"/>
  <c r="G177" i="50"/>
  <c r="H177" i="50"/>
  <c r="G178" i="50"/>
  <c r="H169" i="51"/>
  <c r="G169" i="51"/>
  <c r="G170" i="51"/>
  <c r="H170" i="51"/>
  <c r="E218" i="50" a="1"/>
  <c r="E218" i="50" s="1"/>
  <c r="E223" i="50" a="1"/>
  <c r="E223" i="50" s="1"/>
  <c r="E197" i="50" a="1"/>
  <c r="E197" i="50" s="1"/>
  <c r="E242" i="50" a="1"/>
  <c r="E242" i="50" s="1"/>
  <c r="E231" i="50" a="1"/>
  <c r="E231" i="50" s="1"/>
  <c r="E246" i="50" a="1"/>
  <c r="E246" i="50" s="1"/>
  <c r="E217" i="50" a="1"/>
  <c r="E217" i="50" s="1"/>
  <c r="E196" i="50" a="1"/>
  <c r="E196" i="50" s="1"/>
  <c r="E194" i="50" a="1"/>
  <c r="E194" i="50" s="1"/>
  <c r="E232" i="50" a="1"/>
  <c r="E232" i="50" s="1"/>
  <c r="E238" i="50" a="1"/>
  <c r="E238" i="50" s="1"/>
  <c r="E213" i="50" a="1"/>
  <c r="E213" i="50" s="1"/>
  <c r="E233" i="50" a="1"/>
  <c r="E233" i="50" s="1"/>
  <c r="E235" i="50" a="1"/>
  <c r="E235" i="50" s="1"/>
  <c r="E219" i="50" a="1"/>
  <c r="E219" i="50" s="1"/>
  <c r="E237" i="50" a="1"/>
  <c r="E237" i="50" s="1"/>
  <c r="E221" i="50" a="1"/>
  <c r="E221" i="50" s="1"/>
  <c r="E220" i="50" a="1"/>
  <c r="E220" i="50" s="1"/>
  <c r="E216" i="50" a="1"/>
  <c r="E216" i="50" s="1"/>
  <c r="E234" i="50" a="1"/>
  <c r="E234" i="50" s="1"/>
  <c r="E207" i="50" a="1"/>
  <c r="E207" i="50" s="1"/>
  <c r="E198" i="50" a="1"/>
  <c r="E198" i="50" s="1"/>
  <c r="E245" i="50" a="1"/>
  <c r="E245" i="50" s="1"/>
  <c r="E195" i="50" a="1"/>
  <c r="E195" i="50" s="1"/>
  <c r="E205" i="50" a="1"/>
  <c r="E205" i="50" s="1"/>
  <c r="E212" i="50" a="1"/>
  <c r="E212" i="50" s="1"/>
  <c r="E228" i="50" a="1"/>
  <c r="E228" i="50" s="1"/>
  <c r="E236" i="50" a="1"/>
  <c r="E236" i="50" s="1"/>
  <c r="E200" i="50" a="1"/>
  <c r="E200" i="50" s="1"/>
  <c r="E203" i="50" a="1"/>
  <c r="E203" i="50" s="1"/>
  <c r="E227" i="50" a="1"/>
  <c r="E227" i="50" s="1"/>
  <c r="E230" i="50" a="1"/>
  <c r="E230" i="50" s="1"/>
  <c r="E247" i="50" a="1"/>
  <c r="E247" i="50" s="1"/>
  <c r="E193" i="50" a="1"/>
  <c r="E193" i="50" s="1"/>
  <c r="E243" i="50" a="1"/>
  <c r="E243" i="50" s="1"/>
  <c r="E210" i="50" a="1"/>
  <c r="E210" i="50" s="1"/>
  <c r="E199" i="50" a="1"/>
  <c r="E199" i="50" s="1"/>
  <c r="E215" i="50" a="1"/>
  <c r="E215" i="50" s="1"/>
  <c r="E204" i="50" a="1"/>
  <c r="E204" i="50" s="1"/>
  <c r="E249" i="50" a="1"/>
  <c r="E249" i="50" s="1"/>
  <c r="E202" i="50" a="1"/>
  <c r="E202" i="50" s="1"/>
  <c r="E222" i="50" a="1"/>
  <c r="E222" i="50" s="1"/>
  <c r="E248" i="50" a="1"/>
  <c r="E248" i="50" s="1"/>
  <c r="E214" i="50" a="1"/>
  <c r="E214" i="50" s="1"/>
  <c r="E240" i="50" a="1"/>
  <c r="E240" i="50" s="1"/>
  <c r="E209" i="50" a="1"/>
  <c r="E209" i="50" s="1"/>
  <c r="E225" i="50" a="1"/>
  <c r="E225" i="50" s="1"/>
  <c r="E226" i="50" a="1"/>
  <c r="E226" i="50" s="1"/>
  <c r="E224" i="50" a="1"/>
  <c r="E224" i="50" s="1"/>
  <c r="E241" i="50" a="1"/>
  <c r="E241" i="50" s="1"/>
  <c r="E201" i="50" a="1"/>
  <c r="E201" i="50" s="1"/>
  <c r="E239" i="50" a="1"/>
  <c r="E239" i="50" s="1"/>
  <c r="E211" i="50" a="1"/>
  <c r="E211" i="50" s="1"/>
  <c r="E206" i="50" a="1"/>
  <c r="E206" i="50" s="1"/>
  <c r="E208" i="50" a="1"/>
  <c r="E208" i="50" s="1"/>
  <c r="E244" i="50" a="1"/>
  <c r="E244" i="50" s="1"/>
  <c r="E229" i="50" a="1"/>
  <c r="E229" i="50" s="1"/>
  <c r="C510" i="52"/>
  <c r="D510" i="52" s="1"/>
  <c r="M510" i="52"/>
  <c r="N510" i="52" s="1"/>
  <c r="E508" i="52"/>
  <c r="F508" i="52"/>
  <c r="K507" i="52"/>
  <c r="J507" i="52"/>
  <c r="D86" i="53"/>
  <c r="D97" i="53"/>
  <c r="O567" i="51"/>
  <c r="P567" i="51"/>
  <c r="G77" i="41" a="1"/>
  <c r="K508" i="52"/>
  <c r="J508" i="52"/>
  <c r="B439" i="50"/>
  <c r="A440" i="50"/>
  <c r="D178" i="52" a="1"/>
  <c r="D178" i="52" s="1"/>
  <c r="E253" i="52" s="1"/>
  <c r="K505" i="52"/>
  <c r="J505" i="52"/>
  <c r="D222" i="51" a="1"/>
  <c r="D222" i="51" s="1"/>
  <c r="D287" i="51" s="1"/>
  <c r="D237" i="51" a="1"/>
  <c r="D237" i="51" s="1"/>
  <c r="D302" i="51" s="1"/>
  <c r="D197" i="51" a="1"/>
  <c r="D197" i="51" s="1"/>
  <c r="D262" i="51" s="1"/>
  <c r="D219" i="51" a="1"/>
  <c r="D219" i="51" s="1"/>
  <c r="D284" i="51" s="1"/>
  <c r="D239" i="51" a="1"/>
  <c r="D239" i="51" s="1"/>
  <c r="D304" i="51" s="1"/>
  <c r="D202" i="51" a="1"/>
  <c r="D202" i="51" s="1"/>
  <c r="D267" i="51" s="1"/>
  <c r="D226" i="51" a="1"/>
  <c r="D226" i="51" s="1"/>
  <c r="D291" i="51" s="1"/>
  <c r="D203" i="51" a="1"/>
  <c r="D203" i="51" s="1"/>
  <c r="D268" i="51" s="1"/>
  <c r="D213" i="51" a="1"/>
  <c r="D213" i="51" s="1"/>
  <c r="D278" i="51" s="1"/>
  <c r="D194" i="51" a="1"/>
  <c r="D194" i="51" s="1"/>
  <c r="D259" i="51" s="1"/>
  <c r="D187" i="51" a="1"/>
  <c r="D187" i="51" s="1"/>
  <c r="D252" i="51" s="1"/>
  <c r="D217" i="51" a="1"/>
  <c r="D217" i="51" s="1"/>
  <c r="D282" i="51" s="1"/>
  <c r="D195" i="51" a="1"/>
  <c r="D195" i="51" s="1"/>
  <c r="D260" i="51" s="1"/>
  <c r="D227" i="51" a="1"/>
  <c r="D227" i="51" s="1"/>
  <c r="D292" i="51" s="1"/>
  <c r="D230" i="51" a="1"/>
  <c r="D230" i="51" s="1"/>
  <c r="D295" i="51" s="1"/>
  <c r="D205" i="51" a="1"/>
  <c r="D205" i="51" s="1"/>
  <c r="D270" i="51" s="1"/>
  <c r="D188" i="51" a="1"/>
  <c r="D188" i="51" s="1"/>
  <c r="D253" i="51" s="1"/>
  <c r="D215" i="51" a="1"/>
  <c r="D215" i="51" s="1"/>
  <c r="D280" i="51" s="1"/>
  <c r="D241" i="51" a="1"/>
  <c r="D241" i="51" s="1"/>
  <c r="D306" i="51" s="1"/>
  <c r="D185" i="51" a="1"/>
  <c r="D185" i="51" s="1"/>
  <c r="D250" i="51" s="1"/>
  <c r="D238" i="51" a="1"/>
  <c r="D238" i="51" s="1"/>
  <c r="D303" i="51" s="1"/>
  <c r="D218" i="51" a="1"/>
  <c r="D218" i="51" s="1"/>
  <c r="D283" i="51" s="1"/>
  <c r="D186" i="51" a="1"/>
  <c r="D186" i="51" s="1"/>
  <c r="D251" i="51" s="1"/>
  <c r="D211" i="51" a="1"/>
  <c r="D211" i="51" s="1"/>
  <c r="D276" i="51" s="1"/>
  <c r="D208" i="51" a="1"/>
  <c r="D208" i="51" s="1"/>
  <c r="D273" i="51" s="1"/>
  <c r="D216" i="51" a="1"/>
  <c r="D216" i="51" s="1"/>
  <c r="D281" i="51" s="1"/>
  <c r="D200" i="51" a="1"/>
  <c r="D200" i="51" s="1"/>
  <c r="D265" i="51" s="1"/>
  <c r="D191" i="51" a="1"/>
  <c r="D191" i="51" s="1"/>
  <c r="D256" i="51" s="1"/>
  <c r="D224" i="51" a="1"/>
  <c r="D224" i="51" s="1"/>
  <c r="D289" i="51" s="1"/>
  <c r="D228" i="51" a="1"/>
  <c r="D228" i="51" s="1"/>
  <c r="D293" i="51" s="1"/>
  <c r="D214" i="51" a="1"/>
  <c r="D214" i="51" s="1"/>
  <c r="D279" i="51" s="1"/>
  <c r="D225" i="51" a="1"/>
  <c r="D225" i="51" s="1"/>
  <c r="D290" i="51" s="1"/>
  <c r="D223" i="51" a="1"/>
  <c r="D223" i="51" s="1"/>
  <c r="D288" i="51" s="1"/>
  <c r="D199" i="51" a="1"/>
  <c r="D199" i="51" s="1"/>
  <c r="D264" i="51" s="1"/>
  <c r="D206" i="51" a="1"/>
  <c r="D206" i="51" s="1"/>
  <c r="D271" i="51" s="1"/>
  <c r="D229" i="51" a="1"/>
  <c r="D229" i="51" s="1"/>
  <c r="D294" i="51" s="1"/>
  <c r="D221" i="51" a="1"/>
  <c r="D221" i="51" s="1"/>
  <c r="D286" i="51" s="1"/>
  <c r="D207" i="51" a="1"/>
  <c r="D207" i="51" s="1"/>
  <c r="D272" i="51" s="1"/>
  <c r="D190" i="51" a="1"/>
  <c r="D190" i="51" s="1"/>
  <c r="D255" i="51" s="1"/>
  <c r="D198" i="51" a="1"/>
  <c r="D198" i="51" s="1"/>
  <c r="D263" i="51" s="1"/>
  <c r="D189" i="51" a="1"/>
  <c r="D189" i="51" s="1"/>
  <c r="D254" i="51" s="1"/>
  <c r="D192" i="51" a="1"/>
  <c r="D192" i="51" s="1"/>
  <c r="D257" i="51" s="1"/>
  <c r="D235" i="51" a="1"/>
  <c r="D235" i="51" s="1"/>
  <c r="D300" i="51" s="1"/>
  <c r="D220" i="51" a="1"/>
  <c r="D220" i="51" s="1"/>
  <c r="D285" i="51" s="1"/>
  <c r="D231" i="51" a="1"/>
  <c r="D231" i="51" s="1"/>
  <c r="D296" i="51" s="1"/>
  <c r="D201" i="51" a="1"/>
  <c r="D201" i="51" s="1"/>
  <c r="D266" i="51" s="1"/>
  <c r="D232" i="51" a="1"/>
  <c r="D232" i="51" s="1"/>
  <c r="D297" i="51" s="1"/>
  <c r="D233" i="51" a="1"/>
  <c r="D233" i="51" s="1"/>
  <c r="D298" i="51" s="1"/>
  <c r="D236" i="51" a="1"/>
  <c r="D236" i="51" s="1"/>
  <c r="D301" i="51" s="1"/>
  <c r="D209" i="51" a="1"/>
  <c r="D209" i="51" s="1"/>
  <c r="D274" i="51" s="1"/>
  <c r="D204" i="51" a="1"/>
  <c r="D204" i="51" s="1"/>
  <c r="D269" i="51" s="1"/>
  <c r="D196" i="51" a="1"/>
  <c r="D196" i="51" s="1"/>
  <c r="D261" i="51" s="1"/>
  <c r="D212" i="51" a="1"/>
  <c r="D212" i="51" s="1"/>
  <c r="D277" i="51" s="1"/>
  <c r="D240" i="51" a="1"/>
  <c r="D240" i="51" s="1"/>
  <c r="D305" i="51" s="1"/>
  <c r="D193" i="51" a="1"/>
  <c r="D193" i="51" s="1"/>
  <c r="D258" i="51" s="1"/>
  <c r="D234" i="51" a="1"/>
  <c r="D234" i="51" s="1"/>
  <c r="D299" i="51" s="1"/>
  <c r="D210" i="51" a="1"/>
  <c r="D210" i="51" s="1"/>
  <c r="D275" i="51" s="1"/>
  <c r="P568" i="51"/>
  <c r="O568" i="51"/>
  <c r="H438" i="50"/>
  <c r="I438" i="50" s="1"/>
  <c r="C438" i="50"/>
  <c r="D438" i="50" s="1"/>
  <c r="M438" i="50"/>
  <c r="N438" i="50" s="1"/>
  <c r="E567" i="51"/>
  <c r="F567" i="51"/>
  <c r="D262" i="53"/>
  <c r="D256" i="53"/>
  <c r="A571" i="51"/>
  <c r="B570" i="51"/>
  <c r="E566" i="51"/>
  <c r="F566" i="51"/>
  <c r="J567" i="51"/>
  <c r="K567" i="51"/>
  <c r="A512" i="52"/>
  <c r="B511" i="52"/>
  <c r="E506" i="52"/>
  <c r="F506" i="52"/>
  <c r="K509" i="52"/>
  <c r="J509" i="52"/>
  <c r="H175" i="51"/>
  <c r="H176" i="51"/>
  <c r="G175" i="51"/>
  <c r="G176" i="51"/>
  <c r="H171" i="52"/>
  <c r="G172" i="52"/>
  <c r="H172" i="52"/>
  <c r="G171" i="52"/>
  <c r="D178" i="50"/>
  <c r="J568" i="51"/>
  <c r="K568" i="51"/>
  <c r="F505" i="52"/>
  <c r="E505" i="52"/>
  <c r="F509" i="52"/>
  <c r="E509" i="52"/>
  <c r="K506" i="52"/>
  <c r="J506" i="52"/>
  <c r="E568" i="51"/>
  <c r="F568" i="51"/>
  <c r="J566" i="51"/>
  <c r="K566" i="51"/>
  <c r="F507" i="52"/>
  <c r="E507" i="52"/>
  <c r="H510" i="52"/>
  <c r="I510" i="52" s="1"/>
  <c r="O566" i="51"/>
  <c r="P566" i="51"/>
  <c r="D229" i="52" a="1"/>
  <c r="D229" i="52" s="1"/>
  <c r="D305" i="52" s="1"/>
  <c r="D240" i="52" a="1"/>
  <c r="D240" i="52" s="1"/>
  <c r="D316" i="52" s="1"/>
  <c r="D190" i="52" a="1"/>
  <c r="D190" i="52" s="1"/>
  <c r="D266" i="52" s="1"/>
  <c r="D196" i="52" a="1"/>
  <c r="D196" i="52" s="1"/>
  <c r="D272" i="52" s="1"/>
  <c r="D212" i="52" a="1"/>
  <c r="D212" i="52" s="1"/>
  <c r="D288" i="52" s="1"/>
  <c r="D209" i="52" a="1"/>
  <c r="D209" i="52" s="1"/>
  <c r="D285" i="52" s="1"/>
  <c r="D205" i="52" a="1"/>
  <c r="D205" i="52" s="1"/>
  <c r="D281" i="52" s="1"/>
  <c r="D210" i="52" a="1"/>
  <c r="D210" i="52" s="1"/>
  <c r="D286" i="52" s="1"/>
  <c r="D230" i="52" a="1"/>
  <c r="D230" i="52" s="1"/>
  <c r="D306" i="52" s="1"/>
  <c r="D198" i="52" a="1"/>
  <c r="D198" i="52" s="1"/>
  <c r="D274" i="52" s="1"/>
  <c r="D193" i="52" a="1"/>
  <c r="D193" i="52" s="1"/>
  <c r="D269" i="52" s="1"/>
  <c r="D217" i="52" a="1"/>
  <c r="D217" i="52" s="1"/>
  <c r="D293" i="52" s="1"/>
  <c r="D233" i="52" a="1"/>
  <c r="D233" i="52" s="1"/>
  <c r="D309" i="52" s="1"/>
  <c r="D197" i="52" a="1"/>
  <c r="D197" i="52" s="1"/>
  <c r="D273" i="52" s="1"/>
  <c r="D225" i="52" a="1"/>
  <c r="D225" i="52" s="1"/>
  <c r="D301" i="52" s="1"/>
  <c r="D206" i="52" a="1"/>
  <c r="D206" i="52" s="1"/>
  <c r="D282" i="52" s="1"/>
  <c r="D220" i="52" a="1"/>
  <c r="D220" i="52" s="1"/>
  <c r="D296" i="52" s="1"/>
  <c r="D231" i="52" a="1"/>
  <c r="D231" i="52" s="1"/>
  <c r="D307" i="52" s="1"/>
  <c r="D213" i="52" a="1"/>
  <c r="D213" i="52" s="1"/>
  <c r="D289" i="52" s="1"/>
  <c r="D242" i="52" a="1"/>
  <c r="D242" i="52" s="1"/>
  <c r="D318" i="52" s="1"/>
  <c r="D207" i="52" a="1"/>
  <c r="D207" i="52" s="1"/>
  <c r="D283" i="52" s="1"/>
  <c r="D215" i="52" a="1"/>
  <c r="D215" i="52" s="1"/>
  <c r="D291" i="52" s="1"/>
  <c r="D227" i="52" a="1"/>
  <c r="D227" i="52" s="1"/>
  <c r="D303" i="52" s="1"/>
  <c r="D237" i="52" a="1"/>
  <c r="D237" i="52" s="1"/>
  <c r="D313" i="52" s="1"/>
  <c r="D239" i="52" a="1"/>
  <c r="D239" i="52" s="1"/>
  <c r="D315" i="52" s="1"/>
  <c r="D224" i="52" a="1"/>
  <c r="D224" i="52" s="1"/>
  <c r="D300" i="52" s="1"/>
  <c r="D221" i="52" a="1"/>
  <c r="D221" i="52" s="1"/>
  <c r="D297" i="52" s="1"/>
  <c r="D243" i="52" a="1"/>
  <c r="D243" i="52" s="1"/>
  <c r="D319" i="52" s="1"/>
  <c r="D191" i="52" a="1"/>
  <c r="D191" i="52" s="1"/>
  <c r="D267" i="52" s="1"/>
  <c r="D208" i="52" a="1"/>
  <c r="D208" i="52" s="1"/>
  <c r="D284" i="52" s="1"/>
  <c r="D218" i="52" a="1"/>
  <c r="D218" i="52" s="1"/>
  <c r="D294" i="52" s="1"/>
  <c r="D194" i="52" a="1"/>
  <c r="D194" i="52" s="1"/>
  <c r="D270" i="52" s="1"/>
  <c r="D200" i="52" a="1"/>
  <c r="D200" i="52" s="1"/>
  <c r="D276" i="52" s="1"/>
  <c r="D232" i="52" a="1"/>
  <c r="D232" i="52" s="1"/>
  <c r="D308" i="52" s="1"/>
  <c r="D226" i="52" a="1"/>
  <c r="D226" i="52" s="1"/>
  <c r="D302" i="52" s="1"/>
  <c r="D195" i="52" a="1"/>
  <c r="D195" i="52" s="1"/>
  <c r="D271" i="52" s="1"/>
  <c r="D204" i="52" a="1"/>
  <c r="D204" i="52" s="1"/>
  <c r="D280" i="52" s="1"/>
  <c r="D203" i="52" a="1"/>
  <c r="D203" i="52" s="1"/>
  <c r="D279" i="52" s="1"/>
  <c r="D192" i="52" a="1"/>
  <c r="D192" i="52" s="1"/>
  <c r="D268" i="52" s="1"/>
  <c r="D202" i="52" a="1"/>
  <c r="D202" i="52" s="1"/>
  <c r="D278" i="52" s="1"/>
  <c r="D187" i="52" a="1"/>
  <c r="D187" i="52" s="1"/>
  <c r="D263" i="52" s="1"/>
  <c r="D219" i="52" a="1"/>
  <c r="D219" i="52" s="1"/>
  <c r="D295" i="52" s="1"/>
  <c r="D223" i="52" a="1"/>
  <c r="D223" i="52" s="1"/>
  <c r="D299" i="52" s="1"/>
  <c r="D235" i="52" a="1"/>
  <c r="D235" i="52" s="1"/>
  <c r="D311" i="52" s="1"/>
  <c r="D241" i="52" a="1"/>
  <c r="D241" i="52" s="1"/>
  <c r="D317" i="52" s="1"/>
  <c r="D216" i="52" a="1"/>
  <c r="D216" i="52" s="1"/>
  <c r="D292" i="52" s="1"/>
  <c r="D222" i="52" a="1"/>
  <c r="D222" i="52" s="1"/>
  <c r="D298" i="52" s="1"/>
  <c r="D236" i="52" a="1"/>
  <c r="D236" i="52" s="1"/>
  <c r="D312" i="52" s="1"/>
  <c r="D214" i="52" a="1"/>
  <c r="D214" i="52" s="1"/>
  <c r="D290" i="52" s="1"/>
  <c r="D211" i="52" a="1"/>
  <c r="D211" i="52" s="1"/>
  <c r="D287" i="52" s="1"/>
  <c r="D201" i="52" a="1"/>
  <c r="D201" i="52" s="1"/>
  <c r="D277" i="52" s="1"/>
  <c r="D228" i="52" a="1"/>
  <c r="D228" i="52" s="1"/>
  <c r="D304" i="52" s="1"/>
  <c r="D234" i="52" a="1"/>
  <c r="D234" i="52" s="1"/>
  <c r="D310" i="52" s="1"/>
  <c r="D189" i="52" a="1"/>
  <c r="D189" i="52" s="1"/>
  <c r="D265" i="52" s="1"/>
  <c r="D238" i="52" a="1"/>
  <c r="D238" i="52" s="1"/>
  <c r="D314" i="52" s="1"/>
  <c r="D199" i="52" a="1"/>
  <c r="D199" i="52" s="1"/>
  <c r="D275" i="52" s="1"/>
  <c r="D188" i="52" a="1"/>
  <c r="D188" i="52" s="1"/>
  <c r="D264" i="52" s="1"/>
  <c r="C569" i="51"/>
  <c r="D569" i="51" s="1"/>
  <c r="M569" i="51"/>
  <c r="N569" i="51" s="1"/>
  <c r="H569" i="51"/>
  <c r="I569" i="51" s="1"/>
  <c r="C213" i="54"/>
  <c r="C212" i="54"/>
  <c r="B83" i="55" a="1"/>
  <c r="E75" i="55" a="1"/>
  <c r="E75" i="55" s="1"/>
  <c r="B124" i="55" a="1"/>
  <c r="B136" i="56" a="1"/>
  <c r="C130" i="48" a="1"/>
  <c r="C137" i="48" a="1"/>
  <c r="D198" i="50" a="1"/>
  <c r="D198" i="50" s="1"/>
  <c r="D221" i="50" a="1"/>
  <c r="D221" i="50" s="1"/>
  <c r="D240" i="50" a="1"/>
  <c r="D240" i="50" s="1"/>
  <c r="D232" i="50" a="1"/>
  <c r="D232" i="50" s="1"/>
  <c r="D212" i="50" a="1"/>
  <c r="D212" i="50" s="1"/>
  <c r="D202" i="50" a="1"/>
  <c r="D202" i="50" s="1"/>
  <c r="D204" i="50" a="1"/>
  <c r="D204" i="50" s="1"/>
  <c r="D215" i="50" a="1"/>
  <c r="D215" i="50" s="1"/>
  <c r="D197" i="50" a="1"/>
  <c r="D197" i="50" s="1"/>
  <c r="D219" i="50" a="1"/>
  <c r="D219" i="50" s="1"/>
  <c r="D242" i="50" a="1"/>
  <c r="D242" i="50" s="1"/>
  <c r="D218" i="50" a="1"/>
  <c r="D218" i="50" s="1"/>
  <c r="D223" i="50" a="1"/>
  <c r="D223" i="50" s="1"/>
  <c r="D243" i="50" a="1"/>
  <c r="D243" i="50" s="1"/>
  <c r="D235" i="50" a="1"/>
  <c r="D235" i="50" s="1"/>
  <c r="D213" i="50" a="1"/>
  <c r="D213" i="50" s="1"/>
  <c r="D227" i="50" a="1"/>
  <c r="D227" i="50" s="1"/>
  <c r="D245" i="50" a="1"/>
  <c r="D245" i="50" s="1"/>
  <c r="D206" i="50" a="1"/>
  <c r="D206" i="50" s="1"/>
  <c r="D225" i="50" a="1"/>
  <c r="D225" i="50" s="1"/>
  <c r="D194" i="50" a="1"/>
  <c r="D194" i="50" s="1"/>
  <c r="D222" i="50" a="1"/>
  <c r="D222" i="50" s="1"/>
  <c r="D216" i="50" a="1"/>
  <c r="D216" i="50" s="1"/>
  <c r="D241" i="50" a="1"/>
  <c r="D241" i="50" s="1"/>
  <c r="D249" i="50" a="1"/>
  <c r="D249" i="50" s="1"/>
  <c r="D205" i="50" a="1"/>
  <c r="D205" i="50" s="1"/>
  <c r="D200" i="50" a="1"/>
  <c r="D200" i="50" s="1"/>
  <c r="D230" i="50" a="1"/>
  <c r="D230" i="50" s="1"/>
  <c r="D247" i="50" a="1"/>
  <c r="D247" i="50" s="1"/>
  <c r="D233" i="50" a="1"/>
  <c r="D233" i="50" s="1"/>
  <c r="D244" i="50" a="1"/>
  <c r="D244" i="50" s="1"/>
  <c r="D199" i="50" a="1"/>
  <c r="D199" i="50" s="1"/>
  <c r="D231" i="50" a="1"/>
  <c r="D231" i="50" s="1"/>
  <c r="D224" i="50" a="1"/>
  <c r="D224" i="50" s="1"/>
  <c r="D234" i="50" a="1"/>
  <c r="D234" i="50" s="1"/>
  <c r="D238" i="50" a="1"/>
  <c r="D238" i="50" s="1"/>
  <c r="D228" i="50" a="1"/>
  <c r="D228" i="50" s="1"/>
  <c r="D229" i="50" a="1"/>
  <c r="D229" i="50" s="1"/>
  <c r="D210" i="50" a="1"/>
  <c r="D210" i="50" s="1"/>
  <c r="D201" i="50" a="1"/>
  <c r="D201" i="50" s="1"/>
  <c r="D196" i="50" a="1"/>
  <c r="D196" i="50" s="1"/>
  <c r="D217" i="50" a="1"/>
  <c r="D217" i="50" s="1"/>
  <c r="D246" i="50" a="1"/>
  <c r="D246" i="50" s="1"/>
  <c r="D193" i="50" a="1"/>
  <c r="D193" i="50" s="1"/>
  <c r="D207" i="50" a="1"/>
  <c r="D207" i="50" s="1"/>
  <c r="D236" i="50" a="1"/>
  <c r="D236" i="50" s="1"/>
  <c r="D248" i="50" a="1"/>
  <c r="D248" i="50" s="1"/>
  <c r="D220" i="50" a="1"/>
  <c r="D220" i="50" s="1"/>
  <c r="D226" i="50" a="1"/>
  <c r="D226" i="50" s="1"/>
  <c r="D203" i="50" a="1"/>
  <c r="D203" i="50" s="1"/>
  <c r="D239" i="50" a="1"/>
  <c r="D239" i="50" s="1"/>
  <c r="D211" i="50" a="1"/>
  <c r="D211" i="50" s="1"/>
  <c r="D209" i="50" a="1"/>
  <c r="D209" i="50" s="1"/>
  <c r="D195" i="50" a="1"/>
  <c r="D195" i="50" s="1"/>
  <c r="D208" i="50" a="1"/>
  <c r="D208" i="50" s="1"/>
  <c r="D214" i="50" a="1"/>
  <c r="D214" i="50" s="1"/>
  <c r="D237" i="50" a="1"/>
  <c r="D237" i="50" s="1"/>
  <c r="H143" i="44"/>
  <c r="F139" i="44"/>
  <c r="H145" i="44"/>
  <c r="D144" i="44"/>
  <c r="I148" i="44"/>
  <c r="K148" i="44"/>
  <c r="C142" i="44"/>
  <c r="L146" i="44"/>
  <c r="D140" i="44"/>
  <c r="F146" i="44"/>
  <c r="E146" i="44"/>
  <c r="G145" i="44"/>
  <c r="I143" i="44"/>
  <c r="H147" i="44"/>
  <c r="D142" i="44"/>
  <c r="L142" i="44"/>
  <c r="J148" i="44"/>
  <c r="J144" i="44"/>
  <c r="H140" i="44"/>
  <c r="I144" i="44"/>
  <c r="I139" i="44"/>
  <c r="J142" i="44"/>
  <c r="H144" i="44"/>
  <c r="K144" i="44"/>
  <c r="E145" i="44"/>
  <c r="D141" i="44"/>
  <c r="C140" i="44"/>
  <c r="K146" i="44"/>
  <c r="H139" i="44"/>
  <c r="F147" i="44"/>
  <c r="K141" i="44"/>
  <c r="K145" i="44"/>
  <c r="I142" i="44"/>
  <c r="E140" i="44"/>
  <c r="C146" i="44"/>
  <c r="F142" i="44"/>
  <c r="G139" i="44"/>
  <c r="C139" i="44"/>
  <c r="J140" i="44"/>
  <c r="F140" i="44"/>
  <c r="H146" i="44"/>
  <c r="K139" i="44"/>
  <c r="E147" i="44"/>
  <c r="K143" i="44"/>
  <c r="D139" i="44"/>
  <c r="F148" i="44"/>
  <c r="C148" i="44"/>
  <c r="C144" i="44"/>
  <c r="D148" i="44"/>
  <c r="J146" i="44"/>
  <c r="E141" i="44"/>
  <c r="H148" i="44"/>
  <c r="D145" i="44"/>
  <c r="D147" i="44"/>
  <c r="J143" i="44"/>
  <c r="J141" i="44"/>
  <c r="C143" i="44"/>
  <c r="L145" i="44"/>
  <c r="E139" i="44"/>
  <c r="L148" i="44"/>
  <c r="D143" i="44"/>
  <c r="H142" i="44"/>
  <c r="L147" i="44"/>
  <c r="C145" i="44"/>
  <c r="G142" i="44"/>
  <c r="F145" i="44"/>
  <c r="F143" i="44"/>
  <c r="G140" i="44"/>
  <c r="I145" i="44"/>
  <c r="L143" i="44"/>
  <c r="E143" i="44"/>
  <c r="F141" i="44"/>
  <c r="K140" i="44"/>
  <c r="G141" i="44"/>
  <c r="L144" i="44"/>
  <c r="L139" i="44"/>
  <c r="L141" i="44"/>
  <c r="J139" i="44"/>
  <c r="K147" i="44"/>
  <c r="C147" i="44"/>
  <c r="G147" i="44"/>
  <c r="I141" i="44"/>
  <c r="E148" i="44"/>
  <c r="D146" i="44"/>
  <c r="K142" i="44"/>
  <c r="E142" i="44"/>
  <c r="G148" i="44"/>
  <c r="J147" i="44"/>
  <c r="E144" i="44"/>
  <c r="G144" i="44"/>
  <c r="I147" i="44"/>
  <c r="C141" i="44"/>
  <c r="G146" i="44"/>
  <c r="J145" i="44"/>
  <c r="G143" i="44"/>
  <c r="H141" i="44"/>
  <c r="I140" i="44"/>
  <c r="I146" i="44"/>
  <c r="F144" i="44"/>
  <c r="L140" i="44"/>
  <c r="B119" i="56"/>
  <c r="B172" i="56" s="1"/>
  <c r="C171" i="56"/>
  <c r="D172" i="56" s="1" a="1"/>
  <c r="D172" i="56" s="1"/>
  <c r="B120" i="53"/>
  <c r="C119" i="53"/>
  <c r="D119" i="53"/>
  <c r="I116" i="48" a="1"/>
  <c r="C187" i="54"/>
  <c r="C189" i="54" s="1"/>
  <c r="C188" i="54" s="1"/>
  <c r="C199" i="54" s="1"/>
  <c r="C201" i="54" s="1"/>
  <c r="E118" i="53"/>
  <c r="D176" i="56" a="1"/>
  <c r="D176" i="56" s="1"/>
  <c r="C122" i="45" a="1"/>
  <c r="C114" i="45" a="1"/>
  <c r="C114" i="45" s="1"/>
  <c r="C584" i="45" a="1"/>
  <c r="C641" i="45" a="1"/>
  <c r="D377" i="52" l="1"/>
  <c r="H570" i="51"/>
  <c r="I570" i="51" s="1"/>
  <c r="M570" i="51"/>
  <c r="N570" i="51" s="1"/>
  <c r="C570" i="51"/>
  <c r="D570" i="51" s="1"/>
  <c r="D324" i="51"/>
  <c r="P569" i="51"/>
  <c r="O569" i="51"/>
  <c r="B571" i="51"/>
  <c r="A572" i="51"/>
  <c r="D345" i="51"/>
  <c r="O510" i="52"/>
  <c r="P510" i="52"/>
  <c r="E119" i="53"/>
  <c r="K569" i="51"/>
  <c r="J569" i="51"/>
  <c r="K438" i="50"/>
  <c r="J438" i="50"/>
  <c r="D330" i="51"/>
  <c r="H439" i="50"/>
  <c r="I439" i="50" s="1"/>
  <c r="C439" i="50"/>
  <c r="D439" i="50" s="1"/>
  <c r="M439" i="50"/>
  <c r="N439" i="50" s="1"/>
  <c r="E569" i="51"/>
  <c r="F569" i="51"/>
  <c r="D364" i="52"/>
  <c r="K510" i="52"/>
  <c r="J510" i="52"/>
  <c r="C238" i="52" a="1"/>
  <c r="C238" i="52" s="1"/>
  <c r="C314" i="52" s="1"/>
  <c r="C231" i="52" a="1"/>
  <c r="C231" i="52" s="1"/>
  <c r="C307" i="52" s="1"/>
  <c r="C215" i="52" a="1"/>
  <c r="C215" i="52" s="1"/>
  <c r="C291" i="52" s="1"/>
  <c r="C220" i="52" a="1"/>
  <c r="C220" i="52" s="1"/>
  <c r="C296" i="52" s="1"/>
  <c r="C223" i="52" a="1"/>
  <c r="C223" i="52" s="1"/>
  <c r="C299" i="52" s="1"/>
  <c r="C204" i="52" a="1"/>
  <c r="C204" i="52" s="1"/>
  <c r="C280" i="52" s="1"/>
  <c r="C233" i="52" a="1"/>
  <c r="C233" i="52" s="1"/>
  <c r="C309" i="52" s="1"/>
  <c r="C213" i="52" a="1"/>
  <c r="C213" i="52" s="1"/>
  <c r="C289" i="52" s="1"/>
  <c r="C225" i="52" a="1"/>
  <c r="C225" i="52" s="1"/>
  <c r="C301" i="52" s="1"/>
  <c r="C196" i="52" a="1"/>
  <c r="C196" i="52" s="1"/>
  <c r="C272" i="52" s="1"/>
  <c r="C240" i="52" a="1"/>
  <c r="C240" i="52" s="1"/>
  <c r="C316" i="52" s="1"/>
  <c r="C194" i="52" a="1"/>
  <c r="C194" i="52" s="1"/>
  <c r="C270" i="52" s="1"/>
  <c r="C218" i="52" a="1"/>
  <c r="C218" i="52" s="1"/>
  <c r="C294" i="52" s="1"/>
  <c r="C358" i="52" s="1"/>
  <c r="C239" i="52" a="1"/>
  <c r="C239" i="52" s="1"/>
  <c r="C315" i="52" s="1"/>
  <c r="D379" i="52" s="1"/>
  <c r="C224" i="52" a="1"/>
  <c r="C224" i="52" s="1"/>
  <c r="C300" i="52" s="1"/>
  <c r="C211" i="52" a="1"/>
  <c r="C211" i="52" s="1"/>
  <c r="C287" i="52" s="1"/>
  <c r="C216" i="52" a="1"/>
  <c r="C216" i="52" s="1"/>
  <c r="C292" i="52" s="1"/>
  <c r="C356" i="52" s="1"/>
  <c r="C232" i="52" a="1"/>
  <c r="C232" i="52" s="1"/>
  <c r="C308" i="52" s="1"/>
  <c r="C206" i="52" a="1"/>
  <c r="C206" i="52" s="1"/>
  <c r="C282" i="52" s="1"/>
  <c r="C235" i="52" a="1"/>
  <c r="C235" i="52" s="1"/>
  <c r="C311" i="52" s="1"/>
  <c r="C221" i="52" a="1"/>
  <c r="C221" i="52" s="1"/>
  <c r="C297" i="52" s="1"/>
  <c r="C361" i="52" s="1"/>
  <c r="C197" i="52" a="1"/>
  <c r="C197" i="52" s="1"/>
  <c r="C273" i="52" s="1"/>
  <c r="C199" i="52" a="1"/>
  <c r="C199" i="52" s="1"/>
  <c r="C275" i="52" s="1"/>
  <c r="C229" i="52" a="1"/>
  <c r="C229" i="52" s="1"/>
  <c r="C305" i="52" s="1"/>
  <c r="C217" i="52" a="1"/>
  <c r="C217" i="52" s="1"/>
  <c r="C293" i="52" s="1"/>
  <c r="D357" i="52" s="1"/>
  <c r="C192" i="52" a="1"/>
  <c r="C192" i="52" s="1"/>
  <c r="C268" i="52" s="1"/>
  <c r="C243" i="52" a="1"/>
  <c r="C243" i="52" s="1"/>
  <c r="C319" i="52" s="1"/>
  <c r="C241" i="52" a="1"/>
  <c r="C241" i="52" s="1"/>
  <c r="C317" i="52" s="1"/>
  <c r="C219" i="52" a="1"/>
  <c r="C219" i="52" s="1"/>
  <c r="C295" i="52" s="1"/>
  <c r="C359" i="52" s="1"/>
  <c r="C210" i="52" a="1"/>
  <c r="C210" i="52" s="1"/>
  <c r="C286" i="52" s="1"/>
  <c r="C209" i="52" a="1"/>
  <c r="C209" i="52" s="1"/>
  <c r="C285" i="52" s="1"/>
  <c r="C193" i="52" a="1"/>
  <c r="C193" i="52" s="1"/>
  <c r="C269" i="52" s="1"/>
  <c r="C189" i="52" a="1"/>
  <c r="C189" i="52" s="1"/>
  <c r="C265" i="52" s="1"/>
  <c r="C198" i="52" a="1"/>
  <c r="C198" i="52" s="1"/>
  <c r="C274" i="52" s="1"/>
  <c r="C200" i="52" a="1"/>
  <c r="C200" i="52" s="1"/>
  <c r="C276" i="52" s="1"/>
  <c r="C242" i="52" a="1"/>
  <c r="C242" i="52" s="1"/>
  <c r="C318" i="52" s="1"/>
  <c r="C234" i="52" a="1"/>
  <c r="C234" i="52" s="1"/>
  <c r="C310" i="52" s="1"/>
  <c r="C207" i="52" a="1"/>
  <c r="C207" i="52" s="1"/>
  <c r="C283" i="52" s="1"/>
  <c r="C205" i="52" a="1"/>
  <c r="C205" i="52" s="1"/>
  <c r="C281" i="52" s="1"/>
  <c r="C188" i="52" a="1"/>
  <c r="C188" i="52" s="1"/>
  <c r="C264" i="52" s="1"/>
  <c r="C190" i="52" a="1"/>
  <c r="C190" i="52" s="1"/>
  <c r="C266" i="52" s="1"/>
  <c r="C195" i="52" a="1"/>
  <c r="C195" i="52" s="1"/>
  <c r="C271" i="52" s="1"/>
  <c r="D335" i="52" s="1"/>
  <c r="C208" i="52" a="1"/>
  <c r="C208" i="52" s="1"/>
  <c r="C284" i="52" s="1"/>
  <c r="D348" i="52" s="1"/>
  <c r="C222" i="52" a="1"/>
  <c r="C222" i="52" s="1"/>
  <c r="C298" i="52" s="1"/>
  <c r="C227" i="52" a="1"/>
  <c r="C227" i="52" s="1"/>
  <c r="C303" i="52" s="1"/>
  <c r="C201" i="52" a="1"/>
  <c r="C201" i="52" s="1"/>
  <c r="C277" i="52" s="1"/>
  <c r="D341" i="52" s="1"/>
  <c r="C214" i="52" a="1"/>
  <c r="C214" i="52" s="1"/>
  <c r="C290" i="52" s="1"/>
  <c r="C203" i="52" a="1"/>
  <c r="C203" i="52" s="1"/>
  <c r="C279" i="52" s="1"/>
  <c r="C212" i="52" a="1"/>
  <c r="C212" i="52" s="1"/>
  <c r="C288" i="52" s="1"/>
  <c r="C352" i="52" s="1"/>
  <c r="C230" i="52" a="1"/>
  <c r="C230" i="52" s="1"/>
  <c r="C306" i="52" s="1"/>
  <c r="C226" i="52" a="1"/>
  <c r="C226" i="52" s="1"/>
  <c r="C302" i="52" s="1"/>
  <c r="C236" i="52" a="1"/>
  <c r="C236" i="52" s="1"/>
  <c r="C312" i="52" s="1"/>
  <c r="C187" i="52" a="1"/>
  <c r="C187" i="52" s="1"/>
  <c r="C263" i="52" s="1"/>
  <c r="C202" i="52" a="1"/>
  <c r="C202" i="52" s="1"/>
  <c r="C278" i="52" s="1"/>
  <c r="C237" i="52" a="1"/>
  <c r="C237" i="52" s="1"/>
  <c r="C313" i="52" s="1"/>
  <c r="C191" i="52" a="1"/>
  <c r="C191" i="52" s="1"/>
  <c r="C267" i="52" s="1"/>
  <c r="C228" i="52" a="1"/>
  <c r="C228" i="52" s="1"/>
  <c r="C304" i="52" s="1"/>
  <c r="C511" i="52"/>
  <c r="D511" i="52" s="1"/>
  <c r="M511" i="52"/>
  <c r="N511" i="52" s="1"/>
  <c r="H511" i="52"/>
  <c r="I511" i="52" s="1"/>
  <c r="P438" i="50"/>
  <c r="O438" i="50"/>
  <c r="E354" i="51"/>
  <c r="E341" i="51"/>
  <c r="E269" i="52"/>
  <c r="E333" i="52" s="1"/>
  <c r="E278" i="52"/>
  <c r="E342" i="52" s="1"/>
  <c r="E263" i="52"/>
  <c r="E327" i="52" s="1"/>
  <c r="F510" i="52"/>
  <c r="E510" i="52"/>
  <c r="C226" i="51" a="1"/>
  <c r="C226" i="51" s="1"/>
  <c r="C291" i="51" s="1"/>
  <c r="C365" i="51" s="1"/>
  <c r="C199" i="51" a="1"/>
  <c r="C199" i="51" s="1"/>
  <c r="C264" i="51" s="1"/>
  <c r="C224" i="51" a="1"/>
  <c r="C224" i="51" s="1"/>
  <c r="C289" i="51" s="1"/>
  <c r="C204" i="51" a="1"/>
  <c r="C204" i="51" s="1"/>
  <c r="C269" i="51" s="1"/>
  <c r="C196" i="51" a="1"/>
  <c r="C196" i="51" s="1"/>
  <c r="C261" i="51" s="1"/>
  <c r="C335" i="51" s="1"/>
  <c r="C215" i="51" a="1"/>
  <c r="C215" i="51" s="1"/>
  <c r="C280" i="51" s="1"/>
  <c r="C230" i="51" a="1"/>
  <c r="C230" i="51" s="1"/>
  <c r="C295" i="51" s="1"/>
  <c r="C202" i="51" a="1"/>
  <c r="C202" i="51" s="1"/>
  <c r="C267" i="51" s="1"/>
  <c r="C200" i="51" a="1"/>
  <c r="C200" i="51" s="1"/>
  <c r="C265" i="51" s="1"/>
  <c r="C339" i="51" s="1"/>
  <c r="C205" i="51" a="1"/>
  <c r="C205" i="51" s="1"/>
  <c r="C270" i="51" s="1"/>
  <c r="D344" i="51" s="1"/>
  <c r="C239" i="51" a="1"/>
  <c r="C239" i="51" s="1"/>
  <c r="C304" i="51" s="1"/>
  <c r="C210" i="51" a="1"/>
  <c r="C210" i="51" s="1"/>
  <c r="C275" i="51" s="1"/>
  <c r="C209" i="51" a="1"/>
  <c r="C209" i="51" s="1"/>
  <c r="C274" i="51" s="1"/>
  <c r="C348" i="51" s="1"/>
  <c r="C185" i="51" a="1"/>
  <c r="C185" i="51" s="1"/>
  <c r="C250" i="51" s="1"/>
  <c r="C192" i="51" a="1"/>
  <c r="C192" i="51" s="1"/>
  <c r="C257" i="51" s="1"/>
  <c r="C220" i="51" a="1"/>
  <c r="C220" i="51" s="1"/>
  <c r="C285" i="51" s="1"/>
  <c r="C201" i="51" a="1"/>
  <c r="C201" i="51" s="1"/>
  <c r="C266" i="51" s="1"/>
  <c r="C340" i="51" s="1"/>
  <c r="C222" i="51" a="1"/>
  <c r="C222" i="51" s="1"/>
  <c r="C287" i="51" s="1"/>
  <c r="C194" i="51" a="1"/>
  <c r="C194" i="51" s="1"/>
  <c r="C259" i="51" s="1"/>
  <c r="D333" i="51" s="1"/>
  <c r="C238" i="51" a="1"/>
  <c r="C238" i="51" s="1"/>
  <c r="C303" i="51" s="1"/>
  <c r="C213" i="51" a="1"/>
  <c r="C213" i="51" s="1"/>
  <c r="C278" i="51" s="1"/>
  <c r="C352" i="51" s="1"/>
  <c r="C211" i="51" a="1"/>
  <c r="C211" i="51" s="1"/>
  <c r="C276" i="51" s="1"/>
  <c r="C236" i="51" a="1"/>
  <c r="C236" i="51" s="1"/>
  <c r="C301" i="51" s="1"/>
  <c r="C235" i="51" a="1"/>
  <c r="C235" i="51" s="1"/>
  <c r="C300" i="51" s="1"/>
  <c r="C217" i="51" a="1"/>
  <c r="C217" i="51" s="1"/>
  <c r="C282" i="51" s="1"/>
  <c r="C356" i="51" s="1"/>
  <c r="C237" i="51" a="1"/>
  <c r="C237" i="51" s="1"/>
  <c r="C302" i="51" s="1"/>
  <c r="D376" i="51" s="1"/>
  <c r="C231" i="51" a="1"/>
  <c r="C231" i="51" s="1"/>
  <c r="C296" i="51" s="1"/>
  <c r="C233" i="51" a="1"/>
  <c r="C233" i="51" s="1"/>
  <c r="C298" i="51" s="1"/>
  <c r="C189" i="51" a="1"/>
  <c r="C189" i="51" s="1"/>
  <c r="C254" i="51" s="1"/>
  <c r="C328" i="51" s="1"/>
  <c r="C212" i="51" a="1"/>
  <c r="C212" i="51" s="1"/>
  <c r="C277" i="51" s="1"/>
  <c r="C225" i="51" a="1"/>
  <c r="C225" i="51" s="1"/>
  <c r="C290" i="51" s="1"/>
  <c r="D364" i="51" s="1"/>
  <c r="C188" i="51" a="1"/>
  <c r="C188" i="51" s="1"/>
  <c r="C253" i="51" s="1"/>
  <c r="C203" i="51" a="1"/>
  <c r="C203" i="51" s="1"/>
  <c r="C268" i="51" s="1"/>
  <c r="C342" i="51" s="1"/>
  <c r="C206" i="51" a="1"/>
  <c r="C206" i="51" s="1"/>
  <c r="C271" i="51" s="1"/>
  <c r="C191" i="51" a="1"/>
  <c r="C191" i="51" s="1"/>
  <c r="C256" i="51" s="1"/>
  <c r="C186" i="51" a="1"/>
  <c r="C186" i="51" s="1"/>
  <c r="C251" i="51" s="1"/>
  <c r="C197" i="51" a="1"/>
  <c r="C197" i="51" s="1"/>
  <c r="C262" i="51" s="1"/>
  <c r="C336" i="51" s="1"/>
  <c r="C193" i="51" a="1"/>
  <c r="C193" i="51" s="1"/>
  <c r="C258" i="51" s="1"/>
  <c r="D332" i="51" s="1"/>
  <c r="C234" i="51" a="1"/>
  <c r="C234" i="51" s="1"/>
  <c r="C299" i="51" s="1"/>
  <c r="C195" i="51" a="1"/>
  <c r="C195" i="51" s="1"/>
  <c r="C260" i="51" s="1"/>
  <c r="C240" i="51" a="1"/>
  <c r="C240" i="51" s="1"/>
  <c r="C305" i="51" s="1"/>
  <c r="C379" i="51" s="1"/>
  <c r="C221" i="51" a="1"/>
  <c r="C221" i="51" s="1"/>
  <c r="C286" i="51" s="1"/>
  <c r="C241" i="51" a="1"/>
  <c r="C241" i="51" s="1"/>
  <c r="C306" i="51" s="1"/>
  <c r="C229" i="51" a="1"/>
  <c r="C229" i="51" s="1"/>
  <c r="C294" i="51" s="1"/>
  <c r="C223" i="51" a="1"/>
  <c r="C223" i="51" s="1"/>
  <c r="C288" i="51" s="1"/>
  <c r="C187" i="51" a="1"/>
  <c r="C187" i="51" s="1"/>
  <c r="C252" i="51" s="1"/>
  <c r="D326" i="51" s="1"/>
  <c r="C214" i="51" a="1"/>
  <c r="C214" i="51" s="1"/>
  <c r="C279" i="51" s="1"/>
  <c r="C198" i="51" a="1"/>
  <c r="C198" i="51" s="1"/>
  <c r="C263" i="51" s="1"/>
  <c r="C190" i="51" a="1"/>
  <c r="C190" i="51" s="1"/>
  <c r="C255" i="51" s="1"/>
  <c r="C228" i="51" a="1"/>
  <c r="C228" i="51" s="1"/>
  <c r="C293" i="51" s="1"/>
  <c r="C207" i="51" a="1"/>
  <c r="C207" i="51" s="1"/>
  <c r="C272" i="51" s="1"/>
  <c r="D346" i="51" s="1"/>
  <c r="C227" i="51" a="1"/>
  <c r="C227" i="51" s="1"/>
  <c r="C292" i="51" s="1"/>
  <c r="C208" i="51" a="1"/>
  <c r="C208" i="51" s="1"/>
  <c r="C273" i="51" s="1"/>
  <c r="C347" i="51" s="1"/>
  <c r="C216" i="51" a="1"/>
  <c r="C216" i="51" s="1"/>
  <c r="C281" i="51" s="1"/>
  <c r="D355" i="51" s="1"/>
  <c r="C219" i="51" a="1"/>
  <c r="C219" i="51" s="1"/>
  <c r="C284" i="51" s="1"/>
  <c r="D358" i="51" s="1"/>
  <c r="C218" i="51" a="1"/>
  <c r="C218" i="51" s="1"/>
  <c r="C283" i="51" s="1"/>
  <c r="C232" i="51" a="1"/>
  <c r="C232" i="51" s="1"/>
  <c r="C297" i="51" s="1"/>
  <c r="C371" i="51" s="1"/>
  <c r="C204" i="50" a="1"/>
  <c r="C204" i="50" s="1"/>
  <c r="C235" i="50" a="1"/>
  <c r="C235" i="50" s="1"/>
  <c r="C199" i="50" a="1"/>
  <c r="C199" i="50" s="1"/>
  <c r="C206" i="50" a="1"/>
  <c r="C206" i="50" s="1"/>
  <c r="E270" i="50" s="1"/>
  <c r="C219" i="50" a="1"/>
  <c r="C219" i="50" s="1"/>
  <c r="C240" i="50" a="1"/>
  <c r="C240" i="50" s="1"/>
  <c r="C229" i="50" a="1"/>
  <c r="C229" i="50" s="1"/>
  <c r="C233" i="50" a="1"/>
  <c r="C233" i="50" s="1"/>
  <c r="E297" i="50" s="1"/>
  <c r="C197" i="50" a="1"/>
  <c r="C197" i="50" s="1"/>
  <c r="C224" i="50" a="1"/>
  <c r="C224" i="50" s="1"/>
  <c r="C200" i="50" a="1"/>
  <c r="C200" i="50" s="1"/>
  <c r="C222" i="50" a="1"/>
  <c r="C222" i="50" s="1"/>
  <c r="D286" i="50" s="1"/>
  <c r="C213" i="50" a="1"/>
  <c r="C213" i="50" s="1"/>
  <c r="C214" i="50" a="1"/>
  <c r="C214" i="50" s="1"/>
  <c r="C241" i="50" a="1"/>
  <c r="C241" i="50" s="1"/>
  <c r="C216" i="50" a="1"/>
  <c r="C216" i="50" s="1"/>
  <c r="E280" i="50" s="1"/>
  <c r="C209" i="50" a="1"/>
  <c r="C209" i="50" s="1"/>
  <c r="C230" i="50" a="1"/>
  <c r="C230" i="50" s="1"/>
  <c r="C218" i="50" a="1"/>
  <c r="C218" i="50" s="1"/>
  <c r="C234" i="50" a="1"/>
  <c r="C234" i="50" s="1"/>
  <c r="D298" i="50" s="1"/>
  <c r="C220" i="50" a="1"/>
  <c r="C220" i="50" s="1"/>
  <c r="C194" i="50" a="1"/>
  <c r="C194" i="50" s="1"/>
  <c r="C245" i="50" a="1"/>
  <c r="C245" i="50" s="1"/>
  <c r="C205" i="50" a="1"/>
  <c r="C205" i="50" s="1"/>
  <c r="E269" i="50" s="1"/>
  <c r="C243" i="50" a="1"/>
  <c r="C243" i="50" s="1"/>
  <c r="C231" i="50" a="1"/>
  <c r="C231" i="50" s="1"/>
  <c r="C203" i="50" a="1"/>
  <c r="C203" i="50" s="1"/>
  <c r="E267" i="50" s="1"/>
  <c r="C195" i="50" a="1"/>
  <c r="C195" i="50" s="1"/>
  <c r="D259" i="50" s="1"/>
  <c r="C196" i="50" a="1"/>
  <c r="C196" i="50" s="1"/>
  <c r="C232" i="50" a="1"/>
  <c r="C232" i="50" s="1"/>
  <c r="C217" i="50" a="1"/>
  <c r="C217" i="50" s="1"/>
  <c r="C227" i="50" a="1"/>
  <c r="C227" i="50" s="1"/>
  <c r="D291" i="50" s="1"/>
  <c r="C246" i="50" a="1"/>
  <c r="C246" i="50" s="1"/>
  <c r="C211" i="50" a="1"/>
  <c r="C211" i="50" s="1"/>
  <c r="C198" i="50" a="1"/>
  <c r="C198" i="50" s="1"/>
  <c r="C262" i="50" s="1"/>
  <c r="C228" i="50" a="1"/>
  <c r="C228" i="50" s="1"/>
  <c r="C292" i="50" s="1"/>
  <c r="C208" i="50" a="1"/>
  <c r="C208" i="50" s="1"/>
  <c r="C221" i="50" a="1"/>
  <c r="C221" i="50" s="1"/>
  <c r="C193" i="50" a="1"/>
  <c r="C193" i="50" s="1"/>
  <c r="C249" i="50" a="1"/>
  <c r="C249" i="50" s="1"/>
  <c r="D313" i="50" s="1"/>
  <c r="C215" i="50" a="1"/>
  <c r="C215" i="50" s="1"/>
  <c r="C248" i="50" a="1"/>
  <c r="C248" i="50" s="1"/>
  <c r="C202" i="50" a="1"/>
  <c r="C202" i="50" s="1"/>
  <c r="D266" i="50" s="1"/>
  <c r="C236" i="50" a="1"/>
  <c r="C236" i="50" s="1"/>
  <c r="C300" i="50" s="1"/>
  <c r="C242" i="50" a="1"/>
  <c r="C242" i="50" s="1"/>
  <c r="C210" i="50" a="1"/>
  <c r="C210" i="50" s="1"/>
  <c r="C201" i="50" a="1"/>
  <c r="C201" i="50" s="1"/>
  <c r="C265" i="50" s="1"/>
  <c r="C223" i="50" a="1"/>
  <c r="C223" i="50" s="1"/>
  <c r="D287" i="50" s="1"/>
  <c r="C247" i="50" a="1"/>
  <c r="C247" i="50" s="1"/>
  <c r="C212" i="50" a="1"/>
  <c r="C212" i="50" s="1"/>
  <c r="C239" i="50" a="1"/>
  <c r="C239" i="50" s="1"/>
  <c r="C207" i="50" a="1"/>
  <c r="C207" i="50" s="1"/>
  <c r="C271" i="50" s="1"/>
  <c r="C237" i="50" a="1"/>
  <c r="C237" i="50" s="1"/>
  <c r="C225" i="50" a="1"/>
  <c r="C225" i="50" s="1"/>
  <c r="C238" i="50" a="1"/>
  <c r="C238" i="50" s="1"/>
  <c r="E302" i="50" s="1"/>
  <c r="C226" i="50" a="1"/>
  <c r="C226" i="50" s="1"/>
  <c r="C290" i="50" s="1"/>
  <c r="C244" i="50" a="1"/>
  <c r="C244" i="50" s="1"/>
  <c r="D327" i="52"/>
  <c r="D340" i="52"/>
  <c r="D373" i="52"/>
  <c r="D369" i="52"/>
  <c r="E225" i="51" a="1"/>
  <c r="E225" i="51" s="1"/>
  <c r="E290" i="51" s="1"/>
  <c r="E364" i="51" s="1"/>
  <c r="E191" i="51" a="1"/>
  <c r="E191" i="51" s="1"/>
  <c r="E256" i="51" s="1"/>
  <c r="E330" i="51" s="1"/>
  <c r="E185" i="51" a="1"/>
  <c r="E185" i="51" s="1"/>
  <c r="E250" i="51" s="1"/>
  <c r="E324" i="51" s="1"/>
  <c r="E198" i="51" a="1"/>
  <c r="E198" i="51" s="1"/>
  <c r="E263" i="51" s="1"/>
  <c r="E211" i="51" a="1"/>
  <c r="E211" i="51" s="1"/>
  <c r="E276" i="51" s="1"/>
  <c r="E350" i="51" s="1"/>
  <c r="E197" i="51" a="1"/>
  <c r="E197" i="51" s="1"/>
  <c r="E262" i="51" s="1"/>
  <c r="E206" i="51" a="1"/>
  <c r="E206" i="51" s="1"/>
  <c r="E271" i="51" s="1"/>
  <c r="E345" i="51" s="1"/>
  <c r="E218" i="51" a="1"/>
  <c r="E218" i="51" s="1"/>
  <c r="E283" i="51" s="1"/>
  <c r="E357" i="51" s="1"/>
  <c r="E205" i="51" a="1"/>
  <c r="E205" i="51" s="1"/>
  <c r="E270" i="51" s="1"/>
  <c r="E344" i="51" s="1"/>
  <c r="E194" i="51" a="1"/>
  <c r="E194" i="51" s="1"/>
  <c r="E259" i="51" s="1"/>
  <c r="E333" i="51" s="1"/>
  <c r="E214" i="51" a="1"/>
  <c r="E214" i="51" s="1"/>
  <c r="E279" i="51" s="1"/>
  <c r="E353" i="51" s="1"/>
  <c r="E209" i="51" a="1"/>
  <c r="E209" i="51" s="1"/>
  <c r="E274" i="51" s="1"/>
  <c r="E223" i="51" a="1"/>
  <c r="E223" i="51" s="1"/>
  <c r="E288" i="51" s="1"/>
  <c r="E362" i="51" s="1"/>
  <c r="E219" i="51" a="1"/>
  <c r="E219" i="51" s="1"/>
  <c r="E284" i="51" s="1"/>
  <c r="E358" i="51" s="1"/>
  <c r="E235" i="51" a="1"/>
  <c r="E235" i="51" s="1"/>
  <c r="E300" i="51" s="1"/>
  <c r="E374" i="51" s="1"/>
  <c r="E215" i="51" a="1"/>
  <c r="E215" i="51" s="1"/>
  <c r="E280" i="51" s="1"/>
  <c r="E207" i="51" a="1"/>
  <c r="E207" i="51" s="1"/>
  <c r="E272" i="51" s="1"/>
  <c r="E346" i="51" s="1"/>
  <c r="E200" i="51" a="1"/>
  <c r="E200" i="51" s="1"/>
  <c r="E265" i="51" s="1"/>
  <c r="E339" i="51" s="1"/>
  <c r="E232" i="51" a="1"/>
  <c r="E232" i="51" s="1"/>
  <c r="E297" i="51" s="1"/>
  <c r="E195" i="51" a="1"/>
  <c r="E195" i="51" s="1"/>
  <c r="E260" i="51" s="1"/>
  <c r="E334" i="51" s="1"/>
  <c r="E186" i="51" a="1"/>
  <c r="E186" i="51" s="1"/>
  <c r="E251" i="51" s="1"/>
  <c r="E325" i="51" s="1"/>
  <c r="E216" i="51" a="1"/>
  <c r="E216" i="51" s="1"/>
  <c r="E281" i="51" s="1"/>
  <c r="E355" i="51" s="1"/>
  <c r="E213" i="51" a="1"/>
  <c r="E213" i="51" s="1"/>
  <c r="E278" i="51" s="1"/>
  <c r="E241" i="51" a="1"/>
  <c r="E241" i="51" s="1"/>
  <c r="E306" i="51" s="1"/>
  <c r="E380" i="51" s="1"/>
  <c r="E193" i="51" a="1"/>
  <c r="E193" i="51" s="1"/>
  <c r="E258" i="51" s="1"/>
  <c r="E332" i="51" s="1"/>
  <c r="E203" i="51" a="1"/>
  <c r="E203" i="51" s="1"/>
  <c r="E268" i="51" s="1"/>
  <c r="E238" i="51" a="1"/>
  <c r="E238" i="51" s="1"/>
  <c r="E303" i="51" s="1"/>
  <c r="E217" i="51" a="1"/>
  <c r="E217" i="51" s="1"/>
  <c r="E282" i="51" s="1"/>
  <c r="E190" i="51" a="1"/>
  <c r="E190" i="51" s="1"/>
  <c r="E255" i="51" s="1"/>
  <c r="E329" i="51" s="1"/>
  <c r="E201" i="51" a="1"/>
  <c r="E201" i="51" s="1"/>
  <c r="E266" i="51" s="1"/>
  <c r="E202" i="51" a="1"/>
  <c r="E202" i="51" s="1"/>
  <c r="E267" i="51" s="1"/>
  <c r="E234" i="51" a="1"/>
  <c r="E234" i="51" s="1"/>
  <c r="E299" i="51" s="1"/>
  <c r="E373" i="51" s="1"/>
  <c r="E212" i="51" a="1"/>
  <c r="E212" i="51" s="1"/>
  <c r="E277" i="51" s="1"/>
  <c r="E351" i="51" s="1"/>
  <c r="E226" i="51" a="1"/>
  <c r="E226" i="51" s="1"/>
  <c r="E291" i="51" s="1"/>
  <c r="E239" i="51" a="1"/>
  <c r="E239" i="51" s="1"/>
  <c r="E304" i="51" s="1"/>
  <c r="E378" i="51" s="1"/>
  <c r="E230" i="51" a="1"/>
  <c r="E230" i="51" s="1"/>
  <c r="E295" i="51" s="1"/>
  <c r="E369" i="51" s="1"/>
  <c r="E188" i="51" a="1"/>
  <c r="E188" i="51" s="1"/>
  <c r="E253" i="51" s="1"/>
  <c r="E327" i="51" s="1"/>
  <c r="E210" i="51" a="1"/>
  <c r="E210" i="51" s="1"/>
  <c r="E275" i="51" s="1"/>
  <c r="E349" i="51" s="1"/>
  <c r="E237" i="51" a="1"/>
  <c r="E237" i="51" s="1"/>
  <c r="E302" i="51" s="1"/>
  <c r="E376" i="51" s="1"/>
  <c r="E240" i="51" a="1"/>
  <c r="E240" i="51" s="1"/>
  <c r="E305" i="51" s="1"/>
  <c r="E236" i="51" a="1"/>
  <c r="E236" i="51" s="1"/>
  <c r="E301" i="51" s="1"/>
  <c r="E375" i="51" s="1"/>
  <c r="E208" i="51" a="1"/>
  <c r="E208" i="51" s="1"/>
  <c r="E273" i="51" s="1"/>
  <c r="E220" i="51" a="1"/>
  <c r="E220" i="51" s="1"/>
  <c r="E285" i="51" s="1"/>
  <c r="E359" i="51" s="1"/>
  <c r="E192" i="51" a="1"/>
  <c r="E192" i="51" s="1"/>
  <c r="E257" i="51" s="1"/>
  <c r="E331" i="51" s="1"/>
  <c r="E199" i="51" a="1"/>
  <c r="E199" i="51" s="1"/>
  <c r="E264" i="51" s="1"/>
  <c r="E338" i="51" s="1"/>
  <c r="E224" i="51" a="1"/>
  <c r="E224" i="51" s="1"/>
  <c r="E289" i="51" s="1"/>
  <c r="E363" i="51" s="1"/>
  <c r="E221" i="51" a="1"/>
  <c r="E221" i="51" s="1"/>
  <c r="E286" i="51" s="1"/>
  <c r="E360" i="51" s="1"/>
  <c r="E233" i="51" a="1"/>
  <c r="E233" i="51" s="1"/>
  <c r="E298" i="51" s="1"/>
  <c r="E372" i="51" s="1"/>
  <c r="E222" i="51" a="1"/>
  <c r="E222" i="51" s="1"/>
  <c r="E287" i="51" s="1"/>
  <c r="E361" i="51" s="1"/>
  <c r="E204" i="51" a="1"/>
  <c r="E204" i="51" s="1"/>
  <c r="E269" i="51" s="1"/>
  <c r="E196" i="51" a="1"/>
  <c r="E196" i="51" s="1"/>
  <c r="E261" i="51" s="1"/>
  <c r="E227" i="51" a="1"/>
  <c r="E227" i="51" s="1"/>
  <c r="E292" i="51" s="1"/>
  <c r="E366" i="51" s="1"/>
  <c r="E228" i="51" a="1"/>
  <c r="E228" i="51" s="1"/>
  <c r="E293" i="51" s="1"/>
  <c r="E367" i="51" s="1"/>
  <c r="E229" i="51" a="1"/>
  <c r="E229" i="51" s="1"/>
  <c r="E294" i="51" s="1"/>
  <c r="E368" i="51" s="1"/>
  <c r="E231" i="51" a="1"/>
  <c r="E231" i="51" s="1"/>
  <c r="E296" i="51" s="1"/>
  <c r="E370" i="51" s="1"/>
  <c r="E189" i="51" a="1"/>
  <c r="E189" i="51" s="1"/>
  <c r="E254" i="51" s="1"/>
  <c r="E187" i="51" a="1"/>
  <c r="E187" i="51" s="1"/>
  <c r="E252" i="51" s="1"/>
  <c r="E326" i="51" s="1"/>
  <c r="A513" i="52"/>
  <c r="B512" i="52"/>
  <c r="E438" i="50"/>
  <c r="F438" i="50"/>
  <c r="D349" i="51"/>
  <c r="D370" i="51"/>
  <c r="D360" i="51"/>
  <c r="D363" i="51"/>
  <c r="E377" i="51"/>
  <c r="D377" i="51"/>
  <c r="D327" i="51"/>
  <c r="D378" i="51"/>
  <c r="D361" i="51"/>
  <c r="A441" i="50"/>
  <c r="B440" i="50"/>
  <c r="G80" i="41"/>
  <c r="I79" i="41"/>
  <c r="I78" i="41"/>
  <c r="H78" i="41"/>
  <c r="I80" i="41"/>
  <c r="G77" i="41"/>
  <c r="H77" i="41"/>
  <c r="H80" i="41"/>
  <c r="G79" i="41"/>
  <c r="I77" i="41"/>
  <c r="H79" i="41"/>
  <c r="J80" i="41"/>
  <c r="J77" i="41"/>
  <c r="J79" i="41"/>
  <c r="G78" i="41"/>
  <c r="J78" i="41"/>
  <c r="E225" i="52" a="1"/>
  <c r="E225" i="52" s="1"/>
  <c r="E301" i="52" s="1"/>
  <c r="E365" i="52" s="1"/>
  <c r="E242" i="52" a="1"/>
  <c r="E242" i="52" s="1"/>
  <c r="E318" i="52" s="1"/>
  <c r="E382" i="52" s="1"/>
  <c r="E191" i="52" a="1"/>
  <c r="E191" i="52" s="1"/>
  <c r="E267" i="52" s="1"/>
  <c r="E331" i="52" s="1"/>
  <c r="E211" i="52" a="1"/>
  <c r="E211" i="52" s="1"/>
  <c r="E287" i="52" s="1"/>
  <c r="E351" i="52" s="1"/>
  <c r="E206" i="52" a="1"/>
  <c r="E206" i="52" s="1"/>
  <c r="E282" i="52" s="1"/>
  <c r="E346" i="52" s="1"/>
  <c r="E214" i="52" a="1"/>
  <c r="E214" i="52" s="1"/>
  <c r="E290" i="52" s="1"/>
  <c r="E354" i="52" s="1"/>
  <c r="E221" i="52" a="1"/>
  <c r="E221" i="52" s="1"/>
  <c r="E297" i="52" s="1"/>
  <c r="E239" i="52" a="1"/>
  <c r="E239" i="52" s="1"/>
  <c r="E315" i="52" s="1"/>
  <c r="E379" i="52" s="1"/>
  <c r="E233" i="52" a="1"/>
  <c r="E233" i="52" s="1"/>
  <c r="E309" i="52" s="1"/>
  <c r="E373" i="52" s="1"/>
  <c r="E231" i="52" a="1"/>
  <c r="E231" i="52" s="1"/>
  <c r="E307" i="52" s="1"/>
  <c r="E371" i="52" s="1"/>
  <c r="E236" i="52" a="1"/>
  <c r="E236" i="52" s="1"/>
  <c r="E312" i="52" s="1"/>
  <c r="E376" i="52" s="1"/>
  <c r="E203" i="52" a="1"/>
  <c r="E203" i="52" s="1"/>
  <c r="E279" i="52" s="1"/>
  <c r="E343" i="52" s="1"/>
  <c r="E216" i="52" a="1"/>
  <c r="E216" i="52" s="1"/>
  <c r="E292" i="52" s="1"/>
  <c r="E235" i="52" a="1"/>
  <c r="E235" i="52" s="1"/>
  <c r="E311" i="52" s="1"/>
  <c r="E375" i="52" s="1"/>
  <c r="E190" i="52" a="1"/>
  <c r="E190" i="52" s="1"/>
  <c r="E266" i="52" s="1"/>
  <c r="E330" i="52" s="1"/>
  <c r="E219" i="52" a="1"/>
  <c r="E219" i="52" s="1"/>
  <c r="E295" i="52" s="1"/>
  <c r="E222" i="52" a="1"/>
  <c r="E222" i="52" s="1"/>
  <c r="E298" i="52" s="1"/>
  <c r="E362" i="52" s="1"/>
  <c r="E196" i="52" a="1"/>
  <c r="E196" i="52" s="1"/>
  <c r="E272" i="52" s="1"/>
  <c r="E336" i="52" s="1"/>
  <c r="E189" i="52" a="1"/>
  <c r="E189" i="52" s="1"/>
  <c r="E265" i="52" s="1"/>
  <c r="E329" i="52" s="1"/>
  <c r="E200" i="52" a="1"/>
  <c r="E200" i="52" s="1"/>
  <c r="E276" i="52" s="1"/>
  <c r="E340" i="52" s="1"/>
  <c r="E195" i="52" a="1"/>
  <c r="E195" i="52" s="1"/>
  <c r="E271" i="52" s="1"/>
  <c r="E335" i="52" s="1"/>
  <c r="E234" i="52" a="1"/>
  <c r="E234" i="52" s="1"/>
  <c r="E310" i="52" s="1"/>
  <c r="E374" i="52" s="1"/>
  <c r="E205" i="52" a="1"/>
  <c r="E205" i="52" s="1"/>
  <c r="E281" i="52" s="1"/>
  <c r="E345" i="52" s="1"/>
  <c r="E243" i="52" a="1"/>
  <c r="E243" i="52" s="1"/>
  <c r="E319" i="52" s="1"/>
  <c r="E383" i="52" s="1"/>
  <c r="E202" i="52" a="1"/>
  <c r="E202" i="52" s="1"/>
  <c r="E209" i="52" a="1"/>
  <c r="E209" i="52" s="1"/>
  <c r="E285" i="52" s="1"/>
  <c r="E349" i="52" s="1"/>
  <c r="E187" i="52" a="1"/>
  <c r="E187" i="52" s="1"/>
  <c r="E229" i="52" a="1"/>
  <c r="E229" i="52" s="1"/>
  <c r="E305" i="52" s="1"/>
  <c r="E369" i="52" s="1"/>
  <c r="E213" i="52" a="1"/>
  <c r="E213" i="52" s="1"/>
  <c r="E289" i="52" s="1"/>
  <c r="E353" i="52" s="1"/>
  <c r="E230" i="52" a="1"/>
  <c r="E230" i="52" s="1"/>
  <c r="E306" i="52" s="1"/>
  <c r="E198" i="52" a="1"/>
  <c r="E198" i="52" s="1"/>
  <c r="E274" i="52" s="1"/>
  <c r="E338" i="52" s="1"/>
  <c r="E204" i="52" a="1"/>
  <c r="E204" i="52" s="1"/>
  <c r="E280" i="52" s="1"/>
  <c r="E344" i="52" s="1"/>
  <c r="E237" i="52" a="1"/>
  <c r="E237" i="52" s="1"/>
  <c r="E313" i="52" s="1"/>
  <c r="E377" i="52" s="1"/>
  <c r="E241" i="52" a="1"/>
  <c r="E241" i="52" s="1"/>
  <c r="E317" i="52" s="1"/>
  <c r="E381" i="52" s="1"/>
  <c r="E226" i="52" a="1"/>
  <c r="E226" i="52" s="1"/>
  <c r="E302" i="52" s="1"/>
  <c r="E366" i="52" s="1"/>
  <c r="E217" i="52" a="1"/>
  <c r="E217" i="52" s="1"/>
  <c r="E293" i="52" s="1"/>
  <c r="E357" i="52" s="1"/>
  <c r="E201" i="52" a="1"/>
  <c r="E201" i="52" s="1"/>
  <c r="E277" i="52" s="1"/>
  <c r="E341" i="52" s="1"/>
  <c r="E223" i="52" a="1"/>
  <c r="E223" i="52" s="1"/>
  <c r="E299" i="52" s="1"/>
  <c r="E363" i="52" s="1"/>
  <c r="E192" i="52" a="1"/>
  <c r="E192" i="52" s="1"/>
  <c r="E268" i="52" s="1"/>
  <c r="E332" i="52" s="1"/>
  <c r="E212" i="52" a="1"/>
  <c r="E212" i="52" s="1"/>
  <c r="E288" i="52" s="1"/>
  <c r="E188" i="52" a="1"/>
  <c r="E188" i="52" s="1"/>
  <c r="E264" i="52" s="1"/>
  <c r="E328" i="52" s="1"/>
  <c r="E232" i="52" a="1"/>
  <c r="E232" i="52" s="1"/>
  <c r="E308" i="52" s="1"/>
  <c r="E372" i="52" s="1"/>
  <c r="E215" i="52" a="1"/>
  <c r="E215" i="52" s="1"/>
  <c r="E291" i="52" s="1"/>
  <c r="E355" i="52" s="1"/>
  <c r="E224" i="52" a="1"/>
  <c r="E224" i="52" s="1"/>
  <c r="E300" i="52" s="1"/>
  <c r="E364" i="52" s="1"/>
  <c r="E240" i="52" a="1"/>
  <c r="E240" i="52" s="1"/>
  <c r="E316" i="52" s="1"/>
  <c r="E380" i="52" s="1"/>
  <c r="E238" i="52" a="1"/>
  <c r="E238" i="52" s="1"/>
  <c r="E314" i="52" s="1"/>
  <c r="E378" i="52" s="1"/>
  <c r="E227" i="52" a="1"/>
  <c r="E227" i="52" s="1"/>
  <c r="E303" i="52" s="1"/>
  <c r="E367" i="52" s="1"/>
  <c r="E228" i="52" a="1"/>
  <c r="E228" i="52" s="1"/>
  <c r="E304" i="52" s="1"/>
  <c r="E368" i="52" s="1"/>
  <c r="E193" i="52" a="1"/>
  <c r="E193" i="52" s="1"/>
  <c r="E194" i="52" a="1"/>
  <c r="E194" i="52" s="1"/>
  <c r="E270" i="52" s="1"/>
  <c r="E334" i="52" s="1"/>
  <c r="E220" i="52" a="1"/>
  <c r="E220" i="52" s="1"/>
  <c r="E296" i="52" s="1"/>
  <c r="E360" i="52" s="1"/>
  <c r="E218" i="52" a="1"/>
  <c r="E218" i="52" s="1"/>
  <c r="E294" i="52" s="1"/>
  <c r="E197" i="52" a="1"/>
  <c r="E197" i="52" s="1"/>
  <c r="E273" i="52" s="1"/>
  <c r="E337" i="52" s="1"/>
  <c r="E199" i="52" a="1"/>
  <c r="E199" i="52" s="1"/>
  <c r="E275" i="52" s="1"/>
  <c r="E339" i="52" s="1"/>
  <c r="E208" i="52" a="1"/>
  <c r="E208" i="52" s="1"/>
  <c r="E284" i="52" s="1"/>
  <c r="E348" i="52" s="1"/>
  <c r="E210" i="52" a="1"/>
  <c r="E210" i="52" s="1"/>
  <c r="E286" i="52" s="1"/>
  <c r="E350" i="52" s="1"/>
  <c r="E207" i="52" a="1"/>
  <c r="E207" i="52" s="1"/>
  <c r="E283" i="52" s="1"/>
  <c r="E347" i="52" s="1"/>
  <c r="H126" i="45"/>
  <c r="F127" i="45"/>
  <c r="D127" i="45"/>
  <c r="H128" i="45"/>
  <c r="K129" i="45"/>
  <c r="I127" i="45"/>
  <c r="L128" i="45"/>
  <c r="L127" i="45"/>
  <c r="G124" i="45"/>
  <c r="H125" i="45"/>
  <c r="C122" i="45"/>
  <c r="F126" i="45"/>
  <c r="G122" i="45"/>
  <c r="D125" i="45"/>
  <c r="L130" i="45"/>
  <c r="C131" i="45"/>
  <c r="E122" i="45"/>
  <c r="G123" i="45"/>
  <c r="D122" i="45"/>
  <c r="I129" i="45"/>
  <c r="J131" i="45"/>
  <c r="L126" i="45"/>
  <c r="I123" i="45"/>
  <c r="J126" i="45"/>
  <c r="E127" i="45"/>
  <c r="E129" i="45"/>
  <c r="L124" i="45"/>
  <c r="E131" i="45"/>
  <c r="F123" i="45"/>
  <c r="E124" i="45"/>
  <c r="C124" i="45"/>
  <c r="G126" i="45"/>
  <c r="H130" i="45"/>
  <c r="F129" i="45"/>
  <c r="L131" i="45"/>
  <c r="J130" i="45"/>
  <c r="J123" i="45"/>
  <c r="E123" i="45"/>
  <c r="D126" i="45"/>
  <c r="E130" i="45"/>
  <c r="I126" i="45"/>
  <c r="D130" i="45"/>
  <c r="L122" i="45"/>
  <c r="H131" i="45"/>
  <c r="C130" i="45"/>
  <c r="C127" i="45"/>
  <c r="D123" i="45"/>
  <c r="J129" i="45"/>
  <c r="K124" i="45"/>
  <c r="I128" i="45"/>
  <c r="K130" i="45"/>
  <c r="K122" i="45"/>
  <c r="C128" i="45"/>
  <c r="H124" i="45"/>
  <c r="F125" i="45"/>
  <c r="F131" i="45"/>
  <c r="F124" i="45"/>
  <c r="K123" i="45"/>
  <c r="C126" i="45"/>
  <c r="J128" i="45"/>
  <c r="D128" i="45"/>
  <c r="C123" i="45"/>
  <c r="J127" i="45"/>
  <c r="K127" i="45"/>
  <c r="J125" i="45"/>
  <c r="H122" i="45"/>
  <c r="E126" i="45"/>
  <c r="L125" i="45"/>
  <c r="L123" i="45"/>
  <c r="F128" i="45"/>
  <c r="F130" i="45"/>
  <c r="K128" i="45"/>
  <c r="I125" i="45"/>
  <c r="I130" i="45"/>
  <c r="I124" i="45"/>
  <c r="C125" i="45"/>
  <c r="D129" i="45"/>
  <c r="J124" i="45"/>
  <c r="F122" i="45"/>
  <c r="G128" i="45"/>
  <c r="D124" i="45"/>
  <c r="H123" i="45"/>
  <c r="L129" i="45"/>
  <c r="K126" i="45"/>
  <c r="D131" i="45"/>
  <c r="G129" i="45"/>
  <c r="I122" i="45"/>
  <c r="C129" i="45"/>
  <c r="G130" i="45"/>
  <c r="E125" i="45"/>
  <c r="H127" i="45"/>
  <c r="I131" i="45"/>
  <c r="K125" i="45"/>
  <c r="H129" i="45"/>
  <c r="G127" i="45"/>
  <c r="E128" i="45"/>
  <c r="G131" i="45"/>
  <c r="G125" i="45"/>
  <c r="K131" i="45"/>
  <c r="J122" i="45"/>
  <c r="D267" i="50"/>
  <c r="C267" i="50"/>
  <c r="C269" i="50"/>
  <c r="D84" i="55"/>
  <c r="B83" i="55"/>
  <c r="C85" i="55"/>
  <c r="B84" i="55"/>
  <c r="D85" i="55"/>
  <c r="D83" i="55"/>
  <c r="C84" i="55"/>
  <c r="C83" i="55"/>
  <c r="B85" i="55"/>
  <c r="D301" i="50"/>
  <c r="C301" i="50"/>
  <c r="E301" i="50"/>
  <c r="D290" i="50"/>
  <c r="C260" i="50"/>
  <c r="D260" i="50"/>
  <c r="E260" i="50"/>
  <c r="C295" i="50"/>
  <c r="D295" i="50"/>
  <c r="E295" i="50"/>
  <c r="C291" i="50"/>
  <c r="C261" i="50"/>
  <c r="D261" i="50"/>
  <c r="E261" i="50"/>
  <c r="D262" i="50"/>
  <c r="E262" i="50"/>
  <c r="C225" i="54"/>
  <c r="C227" i="54"/>
  <c r="D225" i="54"/>
  <c r="D229" i="54"/>
  <c r="D228" i="54"/>
  <c r="C224" i="54"/>
  <c r="D222" i="54"/>
  <c r="C221" i="54"/>
  <c r="D224" i="54"/>
  <c r="D230" i="54"/>
  <c r="C228" i="54"/>
  <c r="C230" i="54"/>
  <c r="C223" i="54"/>
  <c r="D227" i="54"/>
  <c r="C222" i="54"/>
  <c r="D221" i="54"/>
  <c r="D223" i="54"/>
  <c r="C226" i="54"/>
  <c r="D226" i="54"/>
  <c r="C229" i="54"/>
  <c r="C288" i="50"/>
  <c r="D288" i="50"/>
  <c r="E288" i="50"/>
  <c r="D285" i="50"/>
  <c r="C285" i="50"/>
  <c r="E285" i="50"/>
  <c r="B179" i="56" a="1"/>
  <c r="C280" i="53"/>
  <c r="D278" i="50"/>
  <c r="C278" i="50"/>
  <c r="E278" i="50"/>
  <c r="C284" i="50"/>
  <c r="D284" i="50"/>
  <c r="E284" i="50"/>
  <c r="D265" i="50"/>
  <c r="E265" i="50"/>
  <c r="D263" i="50"/>
  <c r="C263" i="50"/>
  <c r="E263" i="50"/>
  <c r="D305" i="50"/>
  <c r="C305" i="50"/>
  <c r="E305" i="50"/>
  <c r="D277" i="50"/>
  <c r="C277" i="50"/>
  <c r="E277" i="50"/>
  <c r="D279" i="50"/>
  <c r="C279" i="50"/>
  <c r="E279" i="50"/>
  <c r="C283" i="50"/>
  <c r="D283" i="50"/>
  <c r="E283" i="50"/>
  <c r="C272" i="50"/>
  <c r="D272" i="50"/>
  <c r="E272" i="50"/>
  <c r="C312" i="50"/>
  <c r="D312" i="50"/>
  <c r="E312" i="50"/>
  <c r="D274" i="50"/>
  <c r="C274" i="50"/>
  <c r="E274" i="50"/>
  <c r="C308" i="50"/>
  <c r="D308" i="50"/>
  <c r="E308" i="50"/>
  <c r="D280" i="50"/>
  <c r="C280" i="50"/>
  <c r="C299" i="50"/>
  <c r="D299" i="50"/>
  <c r="E299" i="50"/>
  <c r="C268" i="50"/>
  <c r="D268" i="50"/>
  <c r="E268" i="50"/>
  <c r="D281" i="50"/>
  <c r="C281" i="50"/>
  <c r="E281" i="50"/>
  <c r="C309" i="50"/>
  <c r="D309" i="50"/>
  <c r="E309" i="50"/>
  <c r="D120" i="53"/>
  <c r="C281" i="53" s="1"/>
  <c r="B121" i="53"/>
  <c r="C120" i="53"/>
  <c r="C259" i="50"/>
  <c r="E259" i="50"/>
  <c r="E300" i="50"/>
  <c r="D293" i="50"/>
  <c r="C293" i="50"/>
  <c r="E293" i="50"/>
  <c r="D297" i="50"/>
  <c r="C297" i="50"/>
  <c r="C286" i="50"/>
  <c r="E286" i="50"/>
  <c r="C307" i="50"/>
  <c r="D307" i="50"/>
  <c r="E307" i="50"/>
  <c r="C266" i="50"/>
  <c r="E266" i="50"/>
  <c r="B136" i="56"/>
  <c r="C136" i="56"/>
  <c r="B137" i="56"/>
  <c r="C137" i="56"/>
  <c r="L119" i="48"/>
  <c r="J117" i="48"/>
  <c r="I116" i="48"/>
  <c r="I118" i="48"/>
  <c r="I117" i="48"/>
  <c r="L116" i="48"/>
  <c r="L118" i="48"/>
  <c r="J116" i="48"/>
  <c r="K118" i="48"/>
  <c r="J118" i="48"/>
  <c r="K116" i="48"/>
  <c r="J119" i="48"/>
  <c r="L117" i="48"/>
  <c r="K117" i="48"/>
  <c r="I119" i="48"/>
  <c r="K119" i="48"/>
  <c r="C273" i="50"/>
  <c r="D273" i="50"/>
  <c r="E273" i="50"/>
  <c r="E271" i="50"/>
  <c r="D292" i="50"/>
  <c r="D311" i="50"/>
  <c r="C311" i="50"/>
  <c r="E311" i="50"/>
  <c r="D258" i="50"/>
  <c r="C258" i="50"/>
  <c r="E258" i="50"/>
  <c r="E287" i="50"/>
  <c r="D276" i="50"/>
  <c r="C276" i="50"/>
  <c r="E276" i="50"/>
  <c r="E140" i="48"/>
  <c r="E138" i="48"/>
  <c r="D139" i="48"/>
  <c r="C139" i="48"/>
  <c r="F138" i="48"/>
  <c r="C137" i="48"/>
  <c r="D137" i="48"/>
  <c r="E137" i="48"/>
  <c r="F140" i="48"/>
  <c r="F137" i="48"/>
  <c r="F139" i="48"/>
  <c r="C140" i="48"/>
  <c r="D140" i="48"/>
  <c r="C138" i="48"/>
  <c r="E139" i="48"/>
  <c r="D138" i="48"/>
  <c r="D591" i="45"/>
  <c r="D586" i="45"/>
  <c r="C592" i="45"/>
  <c r="C590" i="45"/>
  <c r="C584" i="45"/>
  <c r="C587" i="45"/>
  <c r="D589" i="45"/>
  <c r="D592" i="45"/>
  <c r="C593" i="45"/>
  <c r="C591" i="45"/>
  <c r="C588" i="45"/>
  <c r="D587" i="45"/>
  <c r="D590" i="45"/>
  <c r="C585" i="45"/>
  <c r="D584" i="45"/>
  <c r="C589" i="45"/>
  <c r="D588" i="45"/>
  <c r="C586" i="45"/>
  <c r="D593" i="45"/>
  <c r="D585" i="45"/>
  <c r="C275" i="50"/>
  <c r="D275" i="50"/>
  <c r="E275" i="50"/>
  <c r="C257" i="50"/>
  <c r="D257" i="50"/>
  <c r="E257" i="50"/>
  <c r="D302" i="50"/>
  <c r="C302" i="50"/>
  <c r="C294" i="50"/>
  <c r="D294" i="50"/>
  <c r="E294" i="50"/>
  <c r="C289" i="50"/>
  <c r="D289" i="50"/>
  <c r="E289" i="50"/>
  <c r="D282" i="50"/>
  <c r="C282" i="50"/>
  <c r="E282" i="50"/>
  <c r="D296" i="50"/>
  <c r="C296" i="50"/>
  <c r="E296" i="50"/>
  <c r="E133" i="48"/>
  <c r="F132" i="48"/>
  <c r="C130" i="48"/>
  <c r="E130" i="48"/>
  <c r="D133" i="48"/>
  <c r="E131" i="48"/>
  <c r="D130" i="48"/>
  <c r="E132" i="48"/>
  <c r="C132" i="48"/>
  <c r="F131" i="48"/>
  <c r="C133" i="48"/>
  <c r="D131" i="48"/>
  <c r="C131" i="48"/>
  <c r="D132" i="48"/>
  <c r="F133" i="48"/>
  <c r="F130" i="48"/>
  <c r="D125" i="55"/>
  <c r="D126" i="55"/>
  <c r="C125" i="55"/>
  <c r="B126" i="55"/>
  <c r="D124" i="55"/>
  <c r="B124" i="55"/>
  <c r="C124" i="55"/>
  <c r="C126" i="55"/>
  <c r="B125" i="55"/>
  <c r="C650" i="45"/>
  <c r="D647" i="45"/>
  <c r="D650" i="45"/>
  <c r="C646" i="45"/>
  <c r="D643" i="45"/>
  <c r="D645" i="45"/>
  <c r="D646" i="45"/>
  <c r="C645" i="45"/>
  <c r="C649" i="45"/>
  <c r="D641" i="45"/>
  <c r="C642" i="45"/>
  <c r="C644" i="45"/>
  <c r="C641" i="45"/>
  <c r="C648" i="45"/>
  <c r="D649" i="45"/>
  <c r="D648" i="45"/>
  <c r="D644" i="45"/>
  <c r="C643" i="45"/>
  <c r="D642" i="45"/>
  <c r="C647" i="45"/>
  <c r="C303" i="50"/>
  <c r="D303" i="50"/>
  <c r="E303" i="50"/>
  <c r="D310" i="50"/>
  <c r="C310" i="50"/>
  <c r="E310" i="50"/>
  <c r="E298" i="50"/>
  <c r="D264" i="50"/>
  <c r="C264" i="50"/>
  <c r="E264" i="50"/>
  <c r="C270" i="50"/>
  <c r="D270" i="50"/>
  <c r="C306" i="50"/>
  <c r="D306" i="50"/>
  <c r="E306" i="50"/>
  <c r="C304" i="50"/>
  <c r="D304" i="50"/>
  <c r="E304" i="50"/>
  <c r="E370" i="52" l="1"/>
  <c r="D370" i="52"/>
  <c r="D330" i="52"/>
  <c r="D390" i="51"/>
  <c r="E426" i="51"/>
  <c r="C329" i="51"/>
  <c r="C406" i="51"/>
  <c r="C404" i="51"/>
  <c r="H340" i="51"/>
  <c r="C403" i="51"/>
  <c r="D340" i="51"/>
  <c r="C368" i="52"/>
  <c r="C363" i="52"/>
  <c r="J439" i="50"/>
  <c r="K439" i="50"/>
  <c r="D409" i="51"/>
  <c r="H571" i="51"/>
  <c r="I571" i="51" s="1"/>
  <c r="C571" i="51"/>
  <c r="D571" i="51" s="1"/>
  <c r="M571" i="51"/>
  <c r="N571" i="51" s="1"/>
  <c r="D332" i="52"/>
  <c r="F570" i="51"/>
  <c r="E570" i="51"/>
  <c r="D300" i="50"/>
  <c r="E356" i="52"/>
  <c r="F393" i="52"/>
  <c r="D375" i="51"/>
  <c r="E328" i="51"/>
  <c r="E379" i="51"/>
  <c r="E348" i="51"/>
  <c r="E412" i="51" s="1"/>
  <c r="D337" i="51"/>
  <c r="E337" i="51"/>
  <c r="D347" i="52"/>
  <c r="D381" i="52"/>
  <c r="C357" i="51"/>
  <c r="C366" i="51"/>
  <c r="C337" i="51"/>
  <c r="C368" i="51"/>
  <c r="C334" i="51"/>
  <c r="C325" i="51"/>
  <c r="C327" i="51"/>
  <c r="D372" i="51"/>
  <c r="D436" i="51" s="1"/>
  <c r="C372" i="51"/>
  <c r="C374" i="51"/>
  <c r="C377" i="51"/>
  <c r="C359" i="51"/>
  <c r="C349" i="51"/>
  <c r="C341" i="51"/>
  <c r="E343" i="51"/>
  <c r="C343" i="51"/>
  <c r="D357" i="51"/>
  <c r="D421" i="51" s="1"/>
  <c r="D348" i="51"/>
  <c r="H348" i="51" s="1"/>
  <c r="K511" i="52"/>
  <c r="J511" i="52"/>
  <c r="C331" i="52"/>
  <c r="C376" i="52"/>
  <c r="C343" i="52"/>
  <c r="C362" i="52"/>
  <c r="D362" i="52"/>
  <c r="C328" i="52"/>
  <c r="C382" i="52"/>
  <c r="C333" i="52"/>
  <c r="C381" i="52"/>
  <c r="C369" i="52"/>
  <c r="C375" i="52"/>
  <c r="C351" i="52"/>
  <c r="C334" i="52"/>
  <c r="C353" i="52"/>
  <c r="D353" i="52"/>
  <c r="C360" i="52"/>
  <c r="D360" i="52"/>
  <c r="D356" i="52"/>
  <c r="D368" i="51"/>
  <c r="D382" i="52"/>
  <c r="D368" i="52"/>
  <c r="D339" i="51"/>
  <c r="D403" i="51" s="1"/>
  <c r="D329" i="51"/>
  <c r="D393" i="51" s="1"/>
  <c r="D343" i="51"/>
  <c r="D407" i="51" s="1"/>
  <c r="D361" i="52"/>
  <c r="D363" i="52"/>
  <c r="O570" i="51"/>
  <c r="P570" i="51"/>
  <c r="D334" i="52"/>
  <c r="B84" i="41" a="1"/>
  <c r="D425" i="51"/>
  <c r="D391" i="51"/>
  <c r="E425" i="51"/>
  <c r="E391" i="51"/>
  <c r="C362" i="51"/>
  <c r="H379" i="51"/>
  <c r="H356" i="51"/>
  <c r="C412" i="51"/>
  <c r="E405" i="51"/>
  <c r="D338" i="51"/>
  <c r="D402" i="51" s="1"/>
  <c r="C327" i="52"/>
  <c r="C367" i="52"/>
  <c r="D367" i="52"/>
  <c r="C330" i="52"/>
  <c r="C374" i="52"/>
  <c r="D374" i="52"/>
  <c r="C329" i="52"/>
  <c r="C357" i="52"/>
  <c r="C365" i="52"/>
  <c r="C378" i="52"/>
  <c r="D359" i="52"/>
  <c r="D375" i="52"/>
  <c r="D365" i="51"/>
  <c r="D325" i="51"/>
  <c r="D389" i="51" s="1"/>
  <c r="D371" i="51"/>
  <c r="D435" i="51" s="1"/>
  <c r="D365" i="52"/>
  <c r="C298" i="50"/>
  <c r="C287" i="50"/>
  <c r="D323" i="50" s="1"/>
  <c r="E292" i="50"/>
  <c r="D271" i="50"/>
  <c r="E313" i="50"/>
  <c r="D269" i="50"/>
  <c r="E322" i="50" s="1"/>
  <c r="G322" i="50" s="1"/>
  <c r="D330" i="50" s="1"/>
  <c r="F392" i="52"/>
  <c r="D362" i="51"/>
  <c r="D426" i="51" s="1"/>
  <c r="E430" i="51"/>
  <c r="E356" i="51"/>
  <c r="E398" i="51"/>
  <c r="E421" i="51"/>
  <c r="E291" i="50"/>
  <c r="F323" i="50" s="1"/>
  <c r="C313" i="50"/>
  <c r="D324" i="50" s="1"/>
  <c r="E290" i="50"/>
  <c r="E358" i="52"/>
  <c r="E352" i="52"/>
  <c r="F394" i="52"/>
  <c r="E359" i="52"/>
  <c r="C440" i="50"/>
  <c r="D440" i="50" s="1"/>
  <c r="M440" i="50"/>
  <c r="N440" i="50" s="1"/>
  <c r="H440" i="50"/>
  <c r="I440" i="50" s="1"/>
  <c r="D352" i="51"/>
  <c r="D351" i="51"/>
  <c r="M512" i="52"/>
  <c r="N512" i="52" s="1"/>
  <c r="H512" i="52"/>
  <c r="I512" i="52" s="1"/>
  <c r="C512" i="52"/>
  <c r="D512" i="52" s="1"/>
  <c r="E434" i="51"/>
  <c r="E335" i="51"/>
  <c r="E399" i="51" s="1"/>
  <c r="E440" i="51"/>
  <c r="E352" i="51"/>
  <c r="E416" i="51" s="1"/>
  <c r="E371" i="51"/>
  <c r="E438" i="51"/>
  <c r="E409" i="51"/>
  <c r="E388" i="51"/>
  <c r="D352" i="52"/>
  <c r="D331" i="52"/>
  <c r="D328" i="52"/>
  <c r="C358" i="51"/>
  <c r="C346" i="51"/>
  <c r="C353" i="51"/>
  <c r="C380" i="51"/>
  <c r="C373" i="51"/>
  <c r="C330" i="51"/>
  <c r="D394" i="51" s="1"/>
  <c r="C364" i="51"/>
  <c r="C370" i="51"/>
  <c r="C375" i="51"/>
  <c r="E439" i="51" s="1"/>
  <c r="C333" i="51"/>
  <c r="D397" i="51" s="1"/>
  <c r="C331" i="51"/>
  <c r="C378" i="51"/>
  <c r="C369" i="51"/>
  <c r="C363" i="51"/>
  <c r="D366" i="51"/>
  <c r="D430" i="51" s="1"/>
  <c r="D379" i="51"/>
  <c r="O511" i="52"/>
  <c r="P511" i="52"/>
  <c r="C377" i="52"/>
  <c r="C366" i="52"/>
  <c r="C354" i="52"/>
  <c r="D354" i="52"/>
  <c r="C348" i="52"/>
  <c r="C345" i="52"/>
  <c r="C340" i="52"/>
  <c r="C349" i="52"/>
  <c r="D349" i="52"/>
  <c r="C383" i="52"/>
  <c r="C339" i="52"/>
  <c r="C346" i="52"/>
  <c r="D393" i="52" s="1"/>
  <c r="C364" i="52"/>
  <c r="C380" i="52"/>
  <c r="D380" i="52"/>
  <c r="C373" i="52"/>
  <c r="C355" i="52"/>
  <c r="D372" i="52"/>
  <c r="D351" i="52"/>
  <c r="P439" i="50"/>
  <c r="O439" i="50"/>
  <c r="D335" i="51"/>
  <c r="D383" i="52"/>
  <c r="D369" i="51"/>
  <c r="D433" i="51" s="1"/>
  <c r="D345" i="52"/>
  <c r="D358" i="52"/>
  <c r="D342" i="51"/>
  <c r="D406" i="51" s="1"/>
  <c r="D359" i="51"/>
  <c r="D423" i="51" s="1"/>
  <c r="J570" i="51"/>
  <c r="K570" i="51"/>
  <c r="D376" i="52"/>
  <c r="E415" i="51"/>
  <c r="D322" i="50"/>
  <c r="E361" i="52"/>
  <c r="B441" i="50"/>
  <c r="A442" i="50"/>
  <c r="D334" i="51"/>
  <c r="D398" i="51" s="1"/>
  <c r="D347" i="51"/>
  <c r="D411" i="51" s="1"/>
  <c r="D328" i="51"/>
  <c r="H328" i="51" s="1"/>
  <c r="D413" i="51"/>
  <c r="B513" i="52"/>
  <c r="A514" i="52"/>
  <c r="E432" i="51"/>
  <c r="E347" i="51"/>
  <c r="E413" i="51"/>
  <c r="E365" i="51"/>
  <c r="E429" i="51" s="1"/>
  <c r="E340" i="51"/>
  <c r="E404" i="51" s="1"/>
  <c r="E342" i="51"/>
  <c r="E422" i="51"/>
  <c r="E336" i="51"/>
  <c r="C355" i="51"/>
  <c r="C367" i="51"/>
  <c r="C326" i="51"/>
  <c r="C360" i="51"/>
  <c r="C424" i="51" s="1"/>
  <c r="C332" i="51"/>
  <c r="C345" i="51"/>
  <c r="C351" i="51"/>
  <c r="C376" i="51"/>
  <c r="D440" i="51" s="1"/>
  <c r="C350" i="51"/>
  <c r="E414" i="51" s="1"/>
  <c r="C361" i="51"/>
  <c r="C324" i="51"/>
  <c r="C344" i="51"/>
  <c r="C354" i="51"/>
  <c r="C338" i="51"/>
  <c r="D341" i="51"/>
  <c r="D405" i="51" s="1"/>
  <c r="D354" i="51"/>
  <c r="D367" i="51"/>
  <c r="D431" i="51" s="1"/>
  <c r="D331" i="51"/>
  <c r="D395" i="51" s="1"/>
  <c r="F511" i="52"/>
  <c r="E511" i="52"/>
  <c r="C342" i="52"/>
  <c r="C370" i="52"/>
  <c r="C341" i="52"/>
  <c r="C335" i="52"/>
  <c r="C347" i="52"/>
  <c r="C338" i="52"/>
  <c r="D338" i="52"/>
  <c r="C350" i="52"/>
  <c r="D350" i="52"/>
  <c r="C332" i="52"/>
  <c r="C337" i="52"/>
  <c r="D337" i="52"/>
  <c r="C372" i="52"/>
  <c r="C379" i="52"/>
  <c r="C336" i="52"/>
  <c r="D336" i="52"/>
  <c r="C344" i="52"/>
  <c r="C371" i="52"/>
  <c r="D371" i="52"/>
  <c r="D355" i="52"/>
  <c r="D343" i="52"/>
  <c r="D329" i="52"/>
  <c r="F439" i="50"/>
  <c r="E439" i="50"/>
  <c r="D350" i="51"/>
  <c r="D414" i="51" s="1"/>
  <c r="D342" i="52"/>
  <c r="D336" i="51"/>
  <c r="D400" i="51" s="1"/>
  <c r="D380" i="51"/>
  <c r="D444" i="51" s="1"/>
  <c r="D353" i="51"/>
  <c r="D417" i="51" s="1"/>
  <c r="D374" i="51"/>
  <c r="D438" i="51" s="1"/>
  <c r="B572" i="51"/>
  <c r="A573" i="51"/>
  <c r="D333" i="52"/>
  <c r="D366" i="52"/>
  <c r="D378" i="52"/>
  <c r="D356" i="51"/>
  <c r="D420" i="51" s="1"/>
  <c r="D373" i="51"/>
  <c r="D437" i="51" s="1"/>
  <c r="D346" i="52"/>
  <c r="D339" i="52"/>
  <c r="D344" i="52"/>
  <c r="F324" i="50"/>
  <c r="C658" i="45" a="1"/>
  <c r="I137" i="48" a="1"/>
  <c r="E324" i="50"/>
  <c r="B122" i="53"/>
  <c r="D121" i="53"/>
  <c r="C121" i="53"/>
  <c r="E126" i="55" a="1"/>
  <c r="E126" i="55" s="1"/>
  <c r="C133" i="55" s="1"/>
  <c r="C135" i="55" s="1"/>
  <c r="B171" i="55" s="1"/>
  <c r="C180" i="56"/>
  <c r="C179" i="56"/>
  <c r="B180" i="56"/>
  <c r="B179" i="56"/>
  <c r="C601" i="45" a="1"/>
  <c r="C155" i="48" a="1"/>
  <c r="C155" i="48" s="1"/>
  <c r="C161" i="48" a="1"/>
  <c r="C161" i="48" s="1"/>
  <c r="C160" i="48" a="1"/>
  <c r="C160" i="48" s="1"/>
  <c r="C156" i="48" a="1"/>
  <c r="C156" i="48" s="1"/>
  <c r="C150" i="48" a="1"/>
  <c r="C150" i="48" s="1"/>
  <c r="C173" i="48" a="1"/>
  <c r="C173" i="48" s="1"/>
  <c r="C164" i="48" a="1"/>
  <c r="C164" i="48" s="1"/>
  <c r="C167" i="48" a="1"/>
  <c r="C167" i="48" s="1"/>
  <c r="C152" i="48" a="1"/>
  <c r="C152" i="48" s="1"/>
  <c r="C176" i="48" a="1"/>
  <c r="C176" i="48" s="1"/>
  <c r="C177" i="48" a="1"/>
  <c r="C177" i="48" s="1"/>
  <c r="C162" i="48" a="1"/>
  <c r="C162" i="48" s="1"/>
  <c r="C168" i="48" a="1"/>
  <c r="C168" i="48" s="1"/>
  <c r="C153" i="48" a="1"/>
  <c r="C153" i="48" s="1"/>
  <c r="C172" i="48" a="1"/>
  <c r="C172" i="48" s="1"/>
  <c r="C148" i="48" a="1"/>
  <c r="C148" i="48" s="1"/>
  <c r="C154" i="48" a="1"/>
  <c r="C154" i="48" s="1"/>
  <c r="C157" i="48" a="1"/>
  <c r="C157" i="48" s="1"/>
  <c r="C163" i="48" a="1"/>
  <c r="C163" i="48" s="1"/>
  <c r="C158" i="48" a="1"/>
  <c r="C158" i="48" s="1"/>
  <c r="C171" i="48" a="1"/>
  <c r="C171" i="48" s="1"/>
  <c r="C165" i="48" a="1"/>
  <c r="C165" i="48" s="1"/>
  <c r="C169" i="48" a="1"/>
  <c r="C169" i="48" s="1"/>
  <c r="C170" i="48" a="1"/>
  <c r="C170" i="48" s="1"/>
  <c r="C175" i="48" a="1"/>
  <c r="C175" i="48" s="1"/>
  <c r="C166" i="48" a="1"/>
  <c r="C166" i="48" s="1"/>
  <c r="C149" i="48" a="1"/>
  <c r="C149" i="48" s="1"/>
  <c r="C151" i="48" a="1"/>
  <c r="C151" i="48" s="1"/>
  <c r="C174" i="48" a="1"/>
  <c r="C174" i="48" s="1"/>
  <c r="C159" i="48" a="1"/>
  <c r="C159" i="48" s="1"/>
  <c r="F322" i="50"/>
  <c r="B145" i="56" a="1"/>
  <c r="D233" i="54"/>
  <c r="D232" i="54"/>
  <c r="C233" i="54"/>
  <c r="C232" i="54"/>
  <c r="C235" i="54"/>
  <c r="E323" i="50"/>
  <c r="E120" i="53"/>
  <c r="E85" i="55" a="1"/>
  <c r="E85" i="55" s="1"/>
  <c r="B435" i="55" a="1"/>
  <c r="D419" i="51" l="1"/>
  <c r="H355" i="51"/>
  <c r="C419" i="51"/>
  <c r="H346" i="51"/>
  <c r="C410" i="51"/>
  <c r="K440" i="50"/>
  <c r="J440" i="50"/>
  <c r="J571" i="51"/>
  <c r="K571" i="51"/>
  <c r="H335" i="51"/>
  <c r="H344" i="51"/>
  <c r="C408" i="51"/>
  <c r="C433" i="51"/>
  <c r="H369" i="51"/>
  <c r="H358" i="51"/>
  <c r="C422" i="51"/>
  <c r="H351" i="51"/>
  <c r="D415" i="51"/>
  <c r="E394" i="52"/>
  <c r="G393" i="52"/>
  <c r="H363" i="51"/>
  <c r="C427" i="51"/>
  <c r="C394" i="51"/>
  <c r="H330" i="51"/>
  <c r="H371" i="51"/>
  <c r="H359" i="51"/>
  <c r="C423" i="51"/>
  <c r="E410" i="51"/>
  <c r="E419" i="51"/>
  <c r="H373" i="51"/>
  <c r="C437" i="51"/>
  <c r="E435" i="51"/>
  <c r="E423" i="51"/>
  <c r="E420" i="51"/>
  <c r="E407" i="51"/>
  <c r="C391" i="51"/>
  <c r="H327" i="51"/>
  <c r="E444" i="51"/>
  <c r="C282" i="53"/>
  <c r="H572" i="51"/>
  <c r="I572" i="51" s="1"/>
  <c r="M572" i="51"/>
  <c r="N572" i="51" s="1"/>
  <c r="C572" i="51"/>
  <c r="D572" i="51" s="1"/>
  <c r="H324" i="51"/>
  <c r="C388" i="51"/>
  <c r="C415" i="51"/>
  <c r="E390" i="51"/>
  <c r="C390" i="51"/>
  <c r="H326" i="51"/>
  <c r="E400" i="51"/>
  <c r="E406" i="51"/>
  <c r="E411" i="51"/>
  <c r="M513" i="52"/>
  <c r="N513" i="52" s="1"/>
  <c r="H513" i="52"/>
  <c r="I513" i="52" s="1"/>
  <c r="C513" i="52"/>
  <c r="D513" i="52" s="1"/>
  <c r="D399" i="51"/>
  <c r="C443" i="51"/>
  <c r="D443" i="51"/>
  <c r="H378" i="51"/>
  <c r="C442" i="51"/>
  <c r="H370" i="51"/>
  <c r="C434" i="51"/>
  <c r="C444" i="51"/>
  <c r="H380" i="51"/>
  <c r="E424" i="51"/>
  <c r="E512" i="52"/>
  <c r="F512" i="52"/>
  <c r="D424" i="51"/>
  <c r="F440" i="50"/>
  <c r="E440" i="50"/>
  <c r="E433" i="51"/>
  <c r="D442" i="51"/>
  <c r="D388" i="51"/>
  <c r="E453" i="51" s="1"/>
  <c r="C429" i="51"/>
  <c r="D429" i="51"/>
  <c r="H365" i="51"/>
  <c r="H352" i="51"/>
  <c r="H336" i="51"/>
  <c r="H347" i="51"/>
  <c r="D434" i="51"/>
  <c r="E86" i="41"/>
  <c r="B84" i="41"/>
  <c r="B87" i="41"/>
  <c r="C85" i="41"/>
  <c r="E87" i="41"/>
  <c r="C87" i="41"/>
  <c r="D87" i="41"/>
  <c r="E85" i="41"/>
  <c r="D86" i="41"/>
  <c r="C86" i="41"/>
  <c r="B85" i="41"/>
  <c r="D84" i="41"/>
  <c r="D85" i="41"/>
  <c r="C84" i="41"/>
  <c r="B86" i="41"/>
  <c r="E84" i="41"/>
  <c r="H341" i="51"/>
  <c r="C405" i="51"/>
  <c r="H374" i="51"/>
  <c r="C438" i="51"/>
  <c r="C389" i="51"/>
  <c r="H325" i="51"/>
  <c r="C430" i="51"/>
  <c r="H366" i="51"/>
  <c r="E401" i="51"/>
  <c r="E437" i="51"/>
  <c r="D439" i="51"/>
  <c r="P571" i="51"/>
  <c r="O571" i="51"/>
  <c r="D404" i="51"/>
  <c r="H339" i="51"/>
  <c r="E393" i="51"/>
  <c r="C393" i="51"/>
  <c r="H329" i="51"/>
  <c r="D410" i="51"/>
  <c r="E418" i="51"/>
  <c r="C418" i="51"/>
  <c r="H354" i="51"/>
  <c r="H350" i="51"/>
  <c r="C414" i="51"/>
  <c r="H332" i="51"/>
  <c r="C396" i="51"/>
  <c r="E392" i="51"/>
  <c r="D392" i="51"/>
  <c r="H441" i="50"/>
  <c r="I441" i="50" s="1"/>
  <c r="C441" i="50"/>
  <c r="D441" i="50" s="1"/>
  <c r="M441" i="50"/>
  <c r="N441" i="50" s="1"/>
  <c r="C397" i="51"/>
  <c r="H333" i="51"/>
  <c r="P512" i="52"/>
  <c r="O512" i="52"/>
  <c r="E396" i="51"/>
  <c r="C407" i="51"/>
  <c r="H343" i="51"/>
  <c r="C432" i="51"/>
  <c r="H368" i="51"/>
  <c r="E436" i="51"/>
  <c r="A574" i="51"/>
  <c r="B573" i="51"/>
  <c r="D418" i="51"/>
  <c r="C440" i="51"/>
  <c r="H376" i="51"/>
  <c r="E394" i="51"/>
  <c r="B514" i="52"/>
  <c r="A515" i="52"/>
  <c r="C439" i="51"/>
  <c r="H375" i="51"/>
  <c r="O440" i="50"/>
  <c r="P440" i="50"/>
  <c r="D412" i="51"/>
  <c r="C420" i="51"/>
  <c r="C426" i="51"/>
  <c r="H362" i="51"/>
  <c r="C435" i="51"/>
  <c r="E431" i="51"/>
  <c r="D432" i="51"/>
  <c r="E441" i="51"/>
  <c r="H377" i="51"/>
  <c r="C441" i="51"/>
  <c r="C401" i="51"/>
  <c r="H337" i="51"/>
  <c r="H342" i="51"/>
  <c r="D408" i="51"/>
  <c r="E454" i="51" s="1"/>
  <c r="G326" i="50"/>
  <c r="D369" i="50" s="1"/>
  <c r="D370" i="50" s="1"/>
  <c r="D371" i="50" s="1"/>
  <c r="D180" i="56" a="1"/>
  <c r="D180" i="56" s="1"/>
  <c r="C187" i="56" s="1"/>
  <c r="C189" i="56" s="1"/>
  <c r="C402" i="51"/>
  <c r="H338" i="51"/>
  <c r="C425" i="51"/>
  <c r="H361" i="51"/>
  <c r="H345" i="51"/>
  <c r="C409" i="51"/>
  <c r="C431" i="51"/>
  <c r="H367" i="51"/>
  <c r="E397" i="51"/>
  <c r="E427" i="51"/>
  <c r="F455" i="51" s="1"/>
  <c r="A443" i="50"/>
  <c r="B442" i="50"/>
  <c r="E389" i="51"/>
  <c r="E393" i="52"/>
  <c r="H331" i="51"/>
  <c r="C395" i="51"/>
  <c r="D428" i="51"/>
  <c r="H364" i="51"/>
  <c r="C428" i="51"/>
  <c r="C417" i="51"/>
  <c r="H353" i="51"/>
  <c r="E417" i="51"/>
  <c r="E442" i="51"/>
  <c r="H360" i="51"/>
  <c r="K512" i="52"/>
  <c r="J512" i="52"/>
  <c r="D416" i="51"/>
  <c r="E395" i="51"/>
  <c r="D394" i="52"/>
  <c r="D392" i="52"/>
  <c r="C416" i="51"/>
  <c r="C400" i="51"/>
  <c r="C411" i="51"/>
  <c r="E408" i="51"/>
  <c r="E402" i="51"/>
  <c r="D427" i="51"/>
  <c r="E392" i="52"/>
  <c r="H349" i="51"/>
  <c r="C413" i="51"/>
  <c r="C436" i="51"/>
  <c r="H372" i="51"/>
  <c r="H334" i="51"/>
  <c r="C398" i="51"/>
  <c r="H357" i="51"/>
  <c r="C421" i="51"/>
  <c r="D401" i="51"/>
  <c r="E443" i="51"/>
  <c r="D441" i="51"/>
  <c r="E571" i="51"/>
  <c r="F571" i="51"/>
  <c r="C399" i="51"/>
  <c r="E403" i="51"/>
  <c r="C392" i="51"/>
  <c r="E428" i="51"/>
  <c r="D396" i="51"/>
  <c r="D422" i="51"/>
  <c r="G330" i="50"/>
  <c r="E361" i="50"/>
  <c r="D361" i="50"/>
  <c r="G361" i="50"/>
  <c r="F361" i="50"/>
  <c r="D122" i="53"/>
  <c r="C122" i="53"/>
  <c r="E122" i="53" s="1"/>
  <c r="B123" i="53"/>
  <c r="D685" i="45"/>
  <c r="C680" i="45"/>
  <c r="C669" i="45"/>
  <c r="D679" i="45"/>
  <c r="C685" i="45"/>
  <c r="D674" i="45"/>
  <c r="D684" i="45"/>
  <c r="C686" i="45"/>
  <c r="C670" i="45"/>
  <c r="C681" i="45"/>
  <c r="D669" i="45"/>
  <c r="D668" i="45"/>
  <c r="C661" i="45"/>
  <c r="C667" i="45"/>
  <c r="D665" i="45"/>
  <c r="C683" i="45"/>
  <c r="C684" i="45"/>
  <c r="D683" i="45"/>
  <c r="C664" i="45"/>
  <c r="D659" i="45"/>
  <c r="D681" i="45"/>
  <c r="D680" i="45"/>
  <c r="D670" i="45"/>
  <c r="D676" i="45"/>
  <c r="C675" i="45"/>
  <c r="D658" i="45"/>
  <c r="D686" i="45"/>
  <c r="C663" i="45"/>
  <c r="C665" i="45"/>
  <c r="C660" i="45"/>
  <c r="C672" i="45"/>
  <c r="D667" i="45"/>
  <c r="D661" i="45"/>
  <c r="C666" i="45"/>
  <c r="C687" i="45"/>
  <c r="D687" i="45"/>
  <c r="D671" i="45"/>
  <c r="D682" i="45"/>
  <c r="D678" i="45"/>
  <c r="D673" i="45"/>
  <c r="C658" i="45"/>
  <c r="C662" i="45"/>
  <c r="C673" i="45"/>
  <c r="D677" i="45"/>
  <c r="C668" i="45"/>
  <c r="D666" i="45"/>
  <c r="D672" i="45"/>
  <c r="C678" i="45"/>
  <c r="C674" i="45"/>
  <c r="D660" i="45"/>
  <c r="C682" i="45"/>
  <c r="D664" i="45"/>
  <c r="C676" i="45"/>
  <c r="C671" i="45"/>
  <c r="D675" i="45"/>
  <c r="C679" i="45"/>
  <c r="C659" i="45"/>
  <c r="C677" i="45"/>
  <c r="D662" i="45"/>
  <c r="D663" i="45"/>
  <c r="F332" i="50"/>
  <c r="F330" i="50"/>
  <c r="B146" i="56"/>
  <c r="C146" i="56"/>
  <c r="B145" i="56"/>
  <c r="C145" i="56"/>
  <c r="C182" i="55"/>
  <c r="C171" i="55"/>
  <c r="D182" i="55"/>
  <c r="D602" i="45"/>
  <c r="C619" i="45"/>
  <c r="C604" i="45"/>
  <c r="D601" i="45"/>
  <c r="C630" i="45"/>
  <c r="C624" i="45"/>
  <c r="D609" i="45"/>
  <c r="D629" i="45"/>
  <c r="D613" i="45"/>
  <c r="D607" i="45"/>
  <c r="C628" i="45"/>
  <c r="C625" i="45"/>
  <c r="C612" i="45"/>
  <c r="D619" i="45"/>
  <c r="C616" i="45"/>
  <c r="D604" i="45"/>
  <c r="D608" i="45"/>
  <c r="D617" i="45"/>
  <c r="D622" i="45"/>
  <c r="C627" i="45"/>
  <c r="C618" i="45"/>
  <c r="D620" i="45"/>
  <c r="D618" i="45"/>
  <c r="C601" i="45"/>
  <c r="D603" i="45"/>
  <c r="D623" i="45"/>
  <c r="C621" i="45"/>
  <c r="C615" i="45"/>
  <c r="D615" i="45"/>
  <c r="C610" i="45"/>
  <c r="D628" i="45"/>
  <c r="C606" i="45"/>
  <c r="C620" i="45"/>
  <c r="C605" i="45"/>
  <c r="C622" i="45"/>
  <c r="C614" i="45"/>
  <c r="D605" i="45"/>
  <c r="C611" i="45"/>
  <c r="D625" i="45"/>
  <c r="C629" i="45"/>
  <c r="C608" i="45"/>
  <c r="D621" i="45"/>
  <c r="C609" i="45"/>
  <c r="D627" i="45"/>
  <c r="D612" i="45"/>
  <c r="D626" i="45"/>
  <c r="D616" i="45"/>
  <c r="D610" i="45"/>
  <c r="D611" i="45"/>
  <c r="C602" i="45"/>
  <c r="C613" i="45"/>
  <c r="C617" i="45"/>
  <c r="D606" i="45"/>
  <c r="D630" i="45"/>
  <c r="D624" i="45"/>
  <c r="C626" i="45"/>
  <c r="D614" i="45"/>
  <c r="C603" i="45"/>
  <c r="C623" i="45"/>
  <c r="C607" i="45"/>
  <c r="C262" i="54"/>
  <c r="C242" i="54"/>
  <c r="G323" i="50"/>
  <c r="E331" i="50" s="1"/>
  <c r="B436" i="55"/>
  <c r="C435" i="55"/>
  <c r="D437" i="55"/>
  <c r="D436" i="55"/>
  <c r="C437" i="55"/>
  <c r="D435" i="55"/>
  <c r="B435" i="55"/>
  <c r="B437" i="55"/>
  <c r="C436" i="55"/>
  <c r="E330" i="50"/>
  <c r="C243" i="54"/>
  <c r="C254" i="54" s="1"/>
  <c r="C255" i="54" s="1"/>
  <c r="C263" i="54" s="1"/>
  <c r="G324" i="50"/>
  <c r="D332" i="50" s="1"/>
  <c r="E121" i="53"/>
  <c r="I137" i="48"/>
  <c r="L140" i="48"/>
  <c r="K137" i="48"/>
  <c r="J139" i="48"/>
  <c r="I140" i="48"/>
  <c r="I138" i="48"/>
  <c r="J137" i="48"/>
  <c r="K138" i="48"/>
  <c r="J140" i="48"/>
  <c r="J138" i="48"/>
  <c r="L139" i="48"/>
  <c r="I139" i="48"/>
  <c r="L138" i="48"/>
  <c r="L137" i="48"/>
  <c r="K139" i="48"/>
  <c r="K140" i="48"/>
  <c r="H514" i="52" l="1"/>
  <c r="I514" i="52" s="1"/>
  <c r="M514" i="52"/>
  <c r="N514" i="52" s="1"/>
  <c r="C514" i="52"/>
  <c r="D514" i="52" s="1"/>
  <c r="D454" i="51"/>
  <c r="O513" i="52"/>
  <c r="P513" i="52"/>
  <c r="K572" i="51"/>
  <c r="J572" i="51"/>
  <c r="F454" i="51"/>
  <c r="D401" i="52"/>
  <c r="G432" i="52"/>
  <c r="E432" i="52"/>
  <c r="D432" i="52"/>
  <c r="G401" i="52"/>
  <c r="F432" i="52"/>
  <c r="G392" i="52"/>
  <c r="G396" i="52"/>
  <c r="D439" i="52" s="1"/>
  <c r="D440" i="52" s="1"/>
  <c r="D441" i="52" s="1"/>
  <c r="E401" i="52"/>
  <c r="C573" i="51"/>
  <c r="D573" i="51" s="1"/>
  <c r="M573" i="51"/>
  <c r="N573" i="51" s="1"/>
  <c r="H573" i="51"/>
  <c r="I573" i="51" s="1"/>
  <c r="F453" i="51"/>
  <c r="D455" i="51"/>
  <c r="D453" i="51"/>
  <c r="G457" i="51" s="1"/>
  <c r="D500" i="51" s="1"/>
  <c r="D501" i="51" s="1"/>
  <c r="D502" i="51" s="1"/>
  <c r="B443" i="50"/>
  <c r="A444" i="50"/>
  <c r="E182" i="55"/>
  <c r="G394" i="52"/>
  <c r="D402" i="52"/>
  <c r="B574" i="51"/>
  <c r="A575" i="51"/>
  <c r="P441" i="50"/>
  <c r="O441" i="50"/>
  <c r="E455" i="51"/>
  <c r="F513" i="52"/>
  <c r="E513" i="52"/>
  <c r="E572" i="51"/>
  <c r="F572" i="51"/>
  <c r="F401" i="52"/>
  <c r="J441" i="50"/>
  <c r="K441" i="50"/>
  <c r="M442" i="50"/>
  <c r="N442" i="50" s="1"/>
  <c r="C442" i="50"/>
  <c r="D442" i="50" s="1"/>
  <c r="H442" i="50"/>
  <c r="I442" i="50" s="1"/>
  <c r="A516" i="52"/>
  <c r="B515" i="52"/>
  <c r="E441" i="50"/>
  <c r="F441" i="50"/>
  <c r="K513" i="52"/>
  <c r="J513" i="52"/>
  <c r="P572" i="51"/>
  <c r="O572" i="51"/>
  <c r="C272" i="54"/>
  <c r="C274" i="54" s="1"/>
  <c r="C264" i="54"/>
  <c r="C265" i="54" s="1"/>
  <c r="D632" i="45"/>
  <c r="D633" i="45"/>
  <c r="D689" i="45"/>
  <c r="D690" i="45"/>
  <c r="G325" i="50"/>
  <c r="I149" i="48" a="1"/>
  <c r="I149" i="48" s="1"/>
  <c r="I152" i="48" a="1"/>
  <c r="I152" i="48" s="1"/>
  <c r="I163" i="48" a="1"/>
  <c r="I163" i="48" s="1"/>
  <c r="I175" i="48" a="1"/>
  <c r="I175" i="48" s="1"/>
  <c r="I174" i="48" a="1"/>
  <c r="I174" i="48" s="1"/>
  <c r="I171" i="48" a="1"/>
  <c r="I171" i="48" s="1"/>
  <c r="I173" i="48" a="1"/>
  <c r="I173" i="48" s="1"/>
  <c r="I155" i="48" a="1"/>
  <c r="I155" i="48" s="1"/>
  <c r="I166" i="48" a="1"/>
  <c r="I166" i="48" s="1"/>
  <c r="I167" i="48" a="1"/>
  <c r="I167" i="48" s="1"/>
  <c r="I169" i="48" a="1"/>
  <c r="I169" i="48" s="1"/>
  <c r="I153" i="48" a="1"/>
  <c r="I153" i="48" s="1"/>
  <c r="I165" i="48" a="1"/>
  <c r="I165" i="48" s="1"/>
  <c r="I176" i="48" a="1"/>
  <c r="I176" i="48" s="1"/>
  <c r="I172" i="48" a="1"/>
  <c r="I172" i="48" s="1"/>
  <c r="I151" i="48" a="1"/>
  <c r="I151" i="48" s="1"/>
  <c r="I168" i="48" a="1"/>
  <c r="I168" i="48" s="1"/>
  <c r="I148" i="48" a="1"/>
  <c r="I148" i="48" s="1"/>
  <c r="I160" i="48" a="1"/>
  <c r="I160" i="48" s="1"/>
  <c r="I154" i="48" a="1"/>
  <c r="I154" i="48" s="1"/>
  <c r="I161" i="48" a="1"/>
  <c r="I161" i="48" s="1"/>
  <c r="I150" i="48" a="1"/>
  <c r="I150" i="48" s="1"/>
  <c r="I162" i="48" a="1"/>
  <c r="I162" i="48" s="1"/>
  <c r="I158" i="48" a="1"/>
  <c r="I158" i="48" s="1"/>
  <c r="I170" i="48" a="1"/>
  <c r="I170" i="48" s="1"/>
  <c r="I156" i="48" a="1"/>
  <c r="I156" i="48" s="1"/>
  <c r="I157" i="48" a="1"/>
  <c r="I157" i="48" s="1"/>
  <c r="I159" i="48" a="1"/>
  <c r="I159" i="48" s="1"/>
  <c r="I177" i="48" a="1"/>
  <c r="I177" i="48" s="1"/>
  <c r="I164" i="48" a="1"/>
  <c r="I164" i="48" s="1"/>
  <c r="G457" i="55" a="1"/>
  <c r="G457" i="55" s="1"/>
  <c r="J457" i="55" s="1"/>
  <c r="F458" i="55" a="1"/>
  <c r="F458" i="55" s="1"/>
  <c r="I458" i="55" s="1"/>
  <c r="H448" i="55" a="1"/>
  <c r="H448" i="55" s="1"/>
  <c r="K448" i="55" s="1"/>
  <c r="N448" i="55" s="1"/>
  <c r="H445" i="55" a="1"/>
  <c r="H445" i="55" s="1"/>
  <c r="K445" i="55" s="1"/>
  <c r="F455" i="55" a="1"/>
  <c r="F455" i="55" s="1"/>
  <c r="I455" i="55" s="1"/>
  <c r="G445" i="55" a="1"/>
  <c r="G445" i="55" s="1"/>
  <c r="J445" i="55" s="1"/>
  <c r="H447" i="55" a="1"/>
  <c r="H447" i="55" s="1"/>
  <c r="K447" i="55" s="1"/>
  <c r="G460" i="55" a="1"/>
  <c r="G460" i="55" s="1"/>
  <c r="J460" i="55" s="1"/>
  <c r="F446" i="55" a="1"/>
  <c r="F446" i="55" s="1"/>
  <c r="I446" i="55" s="1"/>
  <c r="F450" i="55" a="1"/>
  <c r="F450" i="55" s="1"/>
  <c r="I450" i="55" s="1"/>
  <c r="H451" i="55" a="1"/>
  <c r="H451" i="55" s="1"/>
  <c r="K451" i="55" s="1"/>
  <c r="H455" i="55" a="1"/>
  <c r="H455" i="55" s="1"/>
  <c r="K455" i="55" s="1"/>
  <c r="H444" i="55" a="1"/>
  <c r="H444" i="55" s="1"/>
  <c r="K444" i="55" s="1"/>
  <c r="G444" i="55" a="1"/>
  <c r="G444" i="55" s="1"/>
  <c r="J444" i="55" s="1"/>
  <c r="G443" i="55" a="1"/>
  <c r="G443" i="55" s="1"/>
  <c r="J443" i="55" s="1"/>
  <c r="G450" i="55" a="1"/>
  <c r="G450" i="55" s="1"/>
  <c r="J450" i="55" s="1"/>
  <c r="H443" i="55" a="1"/>
  <c r="H443" i="55" s="1"/>
  <c r="K443" i="55" s="1"/>
  <c r="F449" i="55" a="1"/>
  <c r="F449" i="55" s="1"/>
  <c r="I449" i="55" s="1"/>
  <c r="H460" i="55" a="1"/>
  <c r="H460" i="55" s="1"/>
  <c r="K460" i="55" s="1"/>
  <c r="H446" i="55" a="1"/>
  <c r="H446" i="55" s="1"/>
  <c r="K446" i="55" s="1"/>
  <c r="H450" i="55" a="1"/>
  <c r="H450" i="55" s="1"/>
  <c r="K450" i="55" s="1"/>
  <c r="G454" i="55" a="1"/>
  <c r="G454" i="55" s="1"/>
  <c r="J454" i="55" s="1"/>
  <c r="G451" i="55" a="1"/>
  <c r="G451" i="55" s="1"/>
  <c r="J451" i="55" s="1"/>
  <c r="G447" i="55" a="1"/>
  <c r="G447" i="55" s="1"/>
  <c r="J447" i="55" s="1"/>
  <c r="F448" i="55" a="1"/>
  <c r="F448" i="55" s="1"/>
  <c r="I448" i="55" s="1"/>
  <c r="H449" i="55" a="1"/>
  <c r="H449" i="55" s="1"/>
  <c r="K449" i="55" s="1"/>
  <c r="H457" i="55" a="1"/>
  <c r="H457" i="55" s="1"/>
  <c r="K457" i="55" s="1"/>
  <c r="N457" i="55" s="1"/>
  <c r="F445" i="55" a="1"/>
  <c r="F445" i="55" s="1"/>
  <c r="I445" i="55" s="1"/>
  <c r="L445" i="55" s="1"/>
  <c r="F453" i="55" a="1"/>
  <c r="F453" i="55" s="1"/>
  <c r="I453" i="55" s="1"/>
  <c r="H456" i="55" a="1"/>
  <c r="H456" i="55" s="1"/>
  <c r="K456" i="55" s="1"/>
  <c r="F447" i="55" a="1"/>
  <c r="F447" i="55" s="1"/>
  <c r="I447" i="55" s="1"/>
  <c r="L447" i="55" s="1"/>
  <c r="G452" i="55" a="1"/>
  <c r="G452" i="55" s="1"/>
  <c r="J452" i="55" s="1"/>
  <c r="G455" i="55" a="1"/>
  <c r="G455" i="55" s="1"/>
  <c r="J455" i="55" s="1"/>
  <c r="M455" i="55" s="1"/>
  <c r="F452" i="55" a="1"/>
  <c r="F452" i="55" s="1"/>
  <c r="I452" i="55" s="1"/>
  <c r="F460" i="55" a="1"/>
  <c r="F460" i="55" s="1"/>
  <c r="I460" i="55" s="1"/>
  <c r="L460" i="55" s="1"/>
  <c r="F459" i="55" a="1"/>
  <c r="F459" i="55" s="1"/>
  <c r="I459" i="55" s="1"/>
  <c r="G449" i="55" a="1"/>
  <c r="G449" i="55" s="1"/>
  <c r="J449" i="55" s="1"/>
  <c r="H453" i="55" a="1"/>
  <c r="H453" i="55" s="1"/>
  <c r="K453" i="55" s="1"/>
  <c r="H458" i="55" a="1"/>
  <c r="H458" i="55" s="1"/>
  <c r="K458" i="55" s="1"/>
  <c r="H454" i="55" a="1"/>
  <c r="H454" i="55" s="1"/>
  <c r="K454" i="55" s="1"/>
  <c r="G453" i="55" a="1"/>
  <c r="G453" i="55" s="1"/>
  <c r="J453" i="55" s="1"/>
  <c r="M453" i="55" s="1"/>
  <c r="F456" i="55" a="1"/>
  <c r="F456" i="55" s="1"/>
  <c r="I456" i="55" s="1"/>
  <c r="G458" i="55" a="1"/>
  <c r="G458" i="55" s="1"/>
  <c r="J458" i="55" s="1"/>
  <c r="M458" i="55" s="1"/>
  <c r="H459" i="55" a="1"/>
  <c r="H459" i="55" s="1"/>
  <c r="K459" i="55" s="1"/>
  <c r="F457" i="55" a="1"/>
  <c r="F457" i="55" s="1"/>
  <c r="I457" i="55" s="1"/>
  <c r="G446" i="55" a="1"/>
  <c r="G446" i="55" s="1"/>
  <c r="J446" i="55" s="1"/>
  <c r="M446" i="55" s="1"/>
  <c r="H452" i="55" a="1"/>
  <c r="H452" i="55" s="1"/>
  <c r="K452" i="55" s="1"/>
  <c r="G456" i="55" a="1"/>
  <c r="G456" i="55" s="1"/>
  <c r="J456" i="55" s="1"/>
  <c r="G448" i="55" a="1"/>
  <c r="G448" i="55" s="1"/>
  <c r="J448" i="55" s="1"/>
  <c r="G459" i="55" a="1"/>
  <c r="G459" i="55" s="1"/>
  <c r="J459" i="55" s="1"/>
  <c r="M459" i="55" s="1"/>
  <c r="F451" i="55" a="1"/>
  <c r="F451" i="55" s="1"/>
  <c r="I451" i="55" s="1"/>
  <c r="L451" i="55" s="1"/>
  <c r="F443" i="55" a="1"/>
  <c r="F443" i="55" s="1"/>
  <c r="I443" i="55" s="1"/>
  <c r="F444" i="55" a="1"/>
  <c r="F444" i="55" s="1"/>
  <c r="I444" i="55" s="1"/>
  <c r="L444" i="55" s="1"/>
  <c r="F454" i="55" a="1"/>
  <c r="F454" i="55" s="1"/>
  <c r="I454" i="55" s="1"/>
  <c r="F603" i="45" a="1"/>
  <c r="C633" i="45"/>
  <c r="C632" i="45"/>
  <c r="C689" i="45"/>
  <c r="F660" i="45" a="1"/>
  <c r="C690" i="45"/>
  <c r="G332" i="50"/>
  <c r="D363" i="50"/>
  <c r="E363" i="50"/>
  <c r="F363" i="50"/>
  <c r="G363" i="50"/>
  <c r="F331" i="50"/>
  <c r="B124" i="53"/>
  <c r="D123" i="53"/>
  <c r="C123" i="53"/>
  <c r="G362" i="50"/>
  <c r="E362" i="50"/>
  <c r="G364" i="50" s="1"/>
  <c r="D362" i="50"/>
  <c r="F362" i="50"/>
  <c r="G331" i="50"/>
  <c r="D331" i="50"/>
  <c r="C250" i="54"/>
  <c r="C252" i="54" s="1"/>
  <c r="C251" i="54" s="1"/>
  <c r="E332" i="50"/>
  <c r="C283" i="53"/>
  <c r="F573" i="51" l="1"/>
  <c r="E573" i="51"/>
  <c r="L456" i="55"/>
  <c r="L452" i="55"/>
  <c r="N449" i="55"/>
  <c r="L450" i="55"/>
  <c r="J442" i="50"/>
  <c r="K442" i="50"/>
  <c r="E433" i="52"/>
  <c r="D433" i="52"/>
  <c r="F433" i="52"/>
  <c r="G402" i="52"/>
  <c r="G433" i="52"/>
  <c r="F402" i="52"/>
  <c r="C443" i="50"/>
  <c r="D443" i="50" s="1"/>
  <c r="M443" i="50"/>
  <c r="N443" i="50" s="1"/>
  <c r="H443" i="50"/>
  <c r="I443" i="50" s="1"/>
  <c r="F514" i="52"/>
  <c r="E514" i="52"/>
  <c r="A517" i="52"/>
  <c r="B516" i="52"/>
  <c r="A445" i="50"/>
  <c r="B444" i="50"/>
  <c r="F400" i="52"/>
  <c r="D431" i="52"/>
  <c r="G434" i="52" s="1"/>
  <c r="G395" i="52"/>
  <c r="G400" i="52"/>
  <c r="G431" i="52"/>
  <c r="E431" i="52"/>
  <c r="F431" i="52"/>
  <c r="G454" i="51"/>
  <c r="E442" i="50"/>
  <c r="F442" i="50"/>
  <c r="B575" i="51"/>
  <c r="A576" i="51"/>
  <c r="E400" i="52"/>
  <c r="E402" i="52"/>
  <c r="J573" i="51"/>
  <c r="K573" i="51"/>
  <c r="D400" i="52"/>
  <c r="P514" i="52"/>
  <c r="O514" i="52"/>
  <c r="G455" i="51"/>
  <c r="D463" i="51"/>
  <c r="E123" i="53"/>
  <c r="L443" i="55"/>
  <c r="N454" i="55"/>
  <c r="M447" i="55"/>
  <c r="M515" i="52"/>
  <c r="N515" i="52" s="1"/>
  <c r="C515" i="52"/>
  <c r="D515" i="52" s="1"/>
  <c r="H515" i="52"/>
  <c r="I515" i="52" s="1"/>
  <c r="O442" i="50"/>
  <c r="P442" i="50"/>
  <c r="E463" i="51"/>
  <c r="H574" i="51"/>
  <c r="I574" i="51" s="1"/>
  <c r="C574" i="51"/>
  <c r="D574" i="51" s="1"/>
  <c r="M574" i="51"/>
  <c r="N574" i="51" s="1"/>
  <c r="G453" i="51"/>
  <c r="O573" i="51"/>
  <c r="P573" i="51"/>
  <c r="F462" i="51"/>
  <c r="K514" i="52"/>
  <c r="J514" i="52"/>
  <c r="L457" i="55"/>
  <c r="M449" i="55"/>
  <c r="L453" i="55"/>
  <c r="N450" i="55"/>
  <c r="N444" i="55"/>
  <c r="L455" i="55"/>
  <c r="G604" i="45"/>
  <c r="F604" i="45"/>
  <c r="F603" i="45"/>
  <c r="G603" i="45"/>
  <c r="N451" i="55"/>
  <c r="N459" i="55"/>
  <c r="L459" i="55"/>
  <c r="N446" i="55"/>
  <c r="N455" i="55"/>
  <c r="N445" i="55"/>
  <c r="C288" i="54"/>
  <c r="D294" i="54"/>
  <c r="E294" i="54" s="1"/>
  <c r="B295" i="54"/>
  <c r="C295" i="54" s="1"/>
  <c r="B301" i="54"/>
  <c r="C301" i="54" s="1"/>
  <c r="B298" i="54"/>
  <c r="C298" i="54" s="1"/>
  <c r="D297" i="54"/>
  <c r="E297" i="54" s="1"/>
  <c r="B294" i="54"/>
  <c r="C294" i="54" s="1"/>
  <c r="D298" i="54"/>
  <c r="E298" i="54" s="1"/>
  <c r="D295" i="54"/>
  <c r="E295" i="54" s="1"/>
  <c r="D293" i="54"/>
  <c r="E293" i="54" s="1"/>
  <c r="D299" i="54"/>
  <c r="E299" i="54" s="1"/>
  <c r="B299" i="54"/>
  <c r="C299" i="54" s="1"/>
  <c r="B296" i="54"/>
  <c r="C296" i="54" s="1"/>
  <c r="B300" i="54"/>
  <c r="C300" i="54" s="1"/>
  <c r="D296" i="54"/>
  <c r="E296" i="54" s="1"/>
  <c r="B292" i="54"/>
  <c r="B293" i="54"/>
  <c r="C293" i="54" s="1"/>
  <c r="D292" i="54"/>
  <c r="D300" i="54"/>
  <c r="E300" i="54" s="1"/>
  <c r="B297" i="54"/>
  <c r="C297" i="54" s="1"/>
  <c r="D301" i="54"/>
  <c r="E301" i="54" s="1"/>
  <c r="M448" i="55"/>
  <c r="L448" i="55"/>
  <c r="N443" i="55"/>
  <c r="L446" i="55"/>
  <c r="M457" i="55"/>
  <c r="N460" i="55"/>
  <c r="M456" i="55"/>
  <c r="D474" i="55" s="1"/>
  <c r="M452" i="55"/>
  <c r="M450" i="55"/>
  <c r="M460" i="55"/>
  <c r="E473" i="55"/>
  <c r="L458" i="55"/>
  <c r="C284" i="53"/>
  <c r="N452" i="55"/>
  <c r="N458" i="55"/>
  <c r="M451" i="55"/>
  <c r="M443" i="55"/>
  <c r="D472" i="55" s="1"/>
  <c r="N447" i="55"/>
  <c r="G660" i="45"/>
  <c r="G661" i="45"/>
  <c r="F660" i="45"/>
  <c r="F661" i="45"/>
  <c r="L449" i="55"/>
  <c r="C473" i="55" s="1"/>
  <c r="D124" i="53"/>
  <c r="C124" i="53"/>
  <c r="B125" i="53"/>
  <c r="L454" i="55"/>
  <c r="N453" i="55"/>
  <c r="N456" i="55"/>
  <c r="M454" i="55"/>
  <c r="M444" i="55"/>
  <c r="M445" i="55"/>
  <c r="E492" i="51" l="1"/>
  <c r="D492" i="51"/>
  <c r="G492" i="51"/>
  <c r="F492" i="51"/>
  <c r="G461" i="51"/>
  <c r="G456" i="51"/>
  <c r="E461" i="51"/>
  <c r="M575" i="51"/>
  <c r="N575" i="51" s="1"/>
  <c r="C575" i="51"/>
  <c r="D575" i="51" s="1"/>
  <c r="H575" i="51"/>
  <c r="I575" i="51" s="1"/>
  <c r="O443" i="50"/>
  <c r="P443" i="50"/>
  <c r="P574" i="51"/>
  <c r="O574" i="51"/>
  <c r="O515" i="52"/>
  <c r="P515" i="52"/>
  <c r="B445" i="50"/>
  <c r="A446" i="50"/>
  <c r="F443" i="50"/>
  <c r="E443" i="50"/>
  <c r="E574" i="51"/>
  <c r="F574" i="51"/>
  <c r="M516" i="52"/>
  <c r="N516" i="52" s="1"/>
  <c r="C516" i="52"/>
  <c r="D516" i="52" s="1"/>
  <c r="H516" i="52"/>
  <c r="I516" i="52" s="1"/>
  <c r="F461" i="51"/>
  <c r="F515" i="52"/>
  <c r="E515" i="52"/>
  <c r="D493" i="51"/>
  <c r="F493" i="51"/>
  <c r="E493" i="51"/>
  <c r="G462" i="51"/>
  <c r="G493" i="51"/>
  <c r="E462" i="51"/>
  <c r="M444" i="50"/>
  <c r="N444" i="50" s="1"/>
  <c r="C444" i="50"/>
  <c r="D444" i="50" s="1"/>
  <c r="H444" i="50"/>
  <c r="I444" i="50" s="1"/>
  <c r="E124" i="53"/>
  <c r="C472" i="55"/>
  <c r="D461" i="51"/>
  <c r="J574" i="51"/>
  <c r="K574" i="51"/>
  <c r="K515" i="52"/>
  <c r="J515" i="52"/>
  <c r="G494" i="51"/>
  <c r="F494" i="51"/>
  <c r="D494" i="51"/>
  <c r="G463" i="51"/>
  <c r="E494" i="51"/>
  <c r="F463" i="51"/>
  <c r="A577" i="51"/>
  <c r="B576" i="51"/>
  <c r="D462" i="51"/>
  <c r="B517" i="52"/>
  <c r="A518" i="52"/>
  <c r="J443" i="50"/>
  <c r="K443" i="50"/>
  <c r="D125" i="53"/>
  <c r="C125" i="53"/>
  <c r="B126" i="53"/>
  <c r="C285" i="53"/>
  <c r="E472" i="55"/>
  <c r="C474" i="55"/>
  <c r="C292" i="54"/>
  <c r="F315" i="54" s="1"/>
  <c r="D315" i="54"/>
  <c r="E474" i="55"/>
  <c r="E292" i="54"/>
  <c r="E316" i="54" s="1"/>
  <c r="D473" i="55"/>
  <c r="E516" i="52" l="1"/>
  <c r="F516" i="52"/>
  <c r="A519" i="52"/>
  <c r="B518" i="52"/>
  <c r="A578" i="51"/>
  <c r="B577" i="51"/>
  <c r="O444" i="50"/>
  <c r="P444" i="50"/>
  <c r="P516" i="52"/>
  <c r="O516" i="52"/>
  <c r="H576" i="51"/>
  <c r="I576" i="51" s="1"/>
  <c r="M576" i="51"/>
  <c r="N576" i="51" s="1"/>
  <c r="C576" i="51"/>
  <c r="D576" i="51" s="1"/>
  <c r="P575" i="51"/>
  <c r="O575" i="51"/>
  <c r="D321" i="54"/>
  <c r="E321" i="54" s="1"/>
  <c r="M517" i="52"/>
  <c r="N517" i="52" s="1"/>
  <c r="H517" i="52"/>
  <c r="I517" i="52" s="1"/>
  <c r="C517" i="52"/>
  <c r="D517" i="52" s="1"/>
  <c r="B446" i="50"/>
  <c r="A447" i="50"/>
  <c r="J575" i="51"/>
  <c r="K575" i="51"/>
  <c r="G495" i="51"/>
  <c r="E444" i="50"/>
  <c r="F444" i="50"/>
  <c r="F316" i="54"/>
  <c r="D316" i="54" s="1"/>
  <c r="E125" i="53"/>
  <c r="J444" i="50"/>
  <c r="K444" i="50"/>
  <c r="K516" i="52"/>
  <c r="J516" i="52"/>
  <c r="H445" i="50"/>
  <c r="I445" i="50" s="1"/>
  <c r="C445" i="50"/>
  <c r="D445" i="50" s="1"/>
  <c r="M445" i="50"/>
  <c r="N445" i="50" s="1"/>
  <c r="F575" i="51"/>
  <c r="E575" i="51"/>
  <c r="C286" i="53"/>
  <c r="E315" i="54"/>
  <c r="F317" i="54"/>
  <c r="E322" i="54"/>
  <c r="D322" i="54" s="1"/>
  <c r="D126" i="53"/>
  <c r="C126" i="53"/>
  <c r="E126" i="53" s="1"/>
  <c r="B127" i="53"/>
  <c r="P445" i="50" l="1"/>
  <c r="O445" i="50"/>
  <c r="F517" i="52"/>
  <c r="E517" i="52"/>
  <c r="J576" i="51"/>
  <c r="K576" i="51"/>
  <c r="B519" i="52"/>
  <c r="A520" i="52"/>
  <c r="C446" i="50"/>
  <c r="D446" i="50" s="1"/>
  <c r="H446" i="50"/>
  <c r="I446" i="50" s="1"/>
  <c r="M446" i="50"/>
  <c r="N446" i="50" s="1"/>
  <c r="E445" i="50"/>
  <c r="F445" i="50"/>
  <c r="K517" i="52"/>
  <c r="J517" i="52"/>
  <c r="H577" i="51"/>
  <c r="I577" i="51" s="1"/>
  <c r="M577" i="51"/>
  <c r="N577" i="51" s="1"/>
  <c r="C577" i="51"/>
  <c r="D577" i="51" s="1"/>
  <c r="P576" i="51"/>
  <c r="O576" i="51"/>
  <c r="M518" i="52"/>
  <c r="N518" i="52" s="1"/>
  <c r="C518" i="52"/>
  <c r="D518" i="52" s="1"/>
  <c r="H518" i="52"/>
  <c r="I518" i="52" s="1"/>
  <c r="K445" i="50"/>
  <c r="J445" i="50"/>
  <c r="B447" i="50"/>
  <c r="A448" i="50"/>
  <c r="P517" i="52"/>
  <c r="O517" i="52"/>
  <c r="E576" i="51"/>
  <c r="F576" i="51"/>
  <c r="B578" i="51"/>
  <c r="A579" i="51"/>
  <c r="C127" i="53"/>
  <c r="B128" i="53"/>
  <c r="D127" i="53"/>
  <c r="C288" i="53" s="1"/>
  <c r="C287" i="53"/>
  <c r="A521" i="52" l="1"/>
  <c r="B520" i="52"/>
  <c r="B448" i="50"/>
  <c r="A449" i="50"/>
  <c r="K518" i="52"/>
  <c r="J518" i="52"/>
  <c r="O446" i="50"/>
  <c r="P446" i="50"/>
  <c r="M519" i="52"/>
  <c r="N519" i="52" s="1"/>
  <c r="C519" i="52"/>
  <c r="D519" i="52" s="1"/>
  <c r="H519" i="52"/>
  <c r="I519" i="52" s="1"/>
  <c r="H578" i="51"/>
  <c r="I578" i="51" s="1"/>
  <c r="M578" i="51"/>
  <c r="N578" i="51" s="1"/>
  <c r="C578" i="51"/>
  <c r="D578" i="51" s="1"/>
  <c r="M447" i="50"/>
  <c r="N447" i="50" s="1"/>
  <c r="H447" i="50"/>
  <c r="I447" i="50" s="1"/>
  <c r="C447" i="50"/>
  <c r="D447" i="50" s="1"/>
  <c r="F518" i="52"/>
  <c r="E518" i="52"/>
  <c r="E577" i="51"/>
  <c r="F577" i="51"/>
  <c r="K446" i="50"/>
  <c r="J446" i="50"/>
  <c r="K577" i="51"/>
  <c r="J577" i="51"/>
  <c r="A580" i="51"/>
  <c r="B579" i="51"/>
  <c r="O518" i="52"/>
  <c r="P518" i="52"/>
  <c r="O577" i="51"/>
  <c r="P577" i="51"/>
  <c r="E446" i="50"/>
  <c r="F446" i="50"/>
  <c r="C128" i="53"/>
  <c r="B129" i="53"/>
  <c r="D128" i="53"/>
  <c r="C289" i="53" s="1"/>
  <c r="E127" i="53"/>
  <c r="B449" i="50" l="1"/>
  <c r="A450" i="50"/>
  <c r="C579" i="51"/>
  <c r="D579" i="51" s="1"/>
  <c r="M579" i="51"/>
  <c r="N579" i="51" s="1"/>
  <c r="H579" i="51"/>
  <c r="I579" i="51" s="1"/>
  <c r="P447" i="50"/>
  <c r="O447" i="50"/>
  <c r="K519" i="52"/>
  <c r="J519" i="52"/>
  <c r="C448" i="50"/>
  <c r="D448" i="50" s="1"/>
  <c r="M448" i="50"/>
  <c r="N448" i="50" s="1"/>
  <c r="H448" i="50"/>
  <c r="I448" i="50" s="1"/>
  <c r="J578" i="51"/>
  <c r="K578" i="51"/>
  <c r="A581" i="51"/>
  <c r="B580" i="51"/>
  <c r="E578" i="51"/>
  <c r="F578" i="51"/>
  <c r="E519" i="52"/>
  <c r="F519" i="52"/>
  <c r="C520" i="52"/>
  <c r="D520" i="52" s="1"/>
  <c r="M520" i="52"/>
  <c r="N520" i="52" s="1"/>
  <c r="H520" i="52"/>
  <c r="I520" i="52" s="1"/>
  <c r="J447" i="50"/>
  <c r="K447" i="50"/>
  <c r="E447" i="50"/>
  <c r="F447" i="50"/>
  <c r="P578" i="51"/>
  <c r="O578" i="51"/>
  <c r="P519" i="52"/>
  <c r="O519" i="52"/>
  <c r="B521" i="52"/>
  <c r="A522" i="52"/>
  <c r="E128" i="53"/>
  <c r="C129" i="53"/>
  <c r="B130" i="53"/>
  <c r="D129" i="53"/>
  <c r="C290" i="53" s="1"/>
  <c r="K448" i="50" l="1"/>
  <c r="J448" i="50"/>
  <c r="J520" i="52"/>
  <c r="K520" i="52"/>
  <c r="B581" i="51"/>
  <c r="A582" i="51"/>
  <c r="P448" i="50"/>
  <c r="O448" i="50"/>
  <c r="F579" i="51"/>
  <c r="E579" i="51"/>
  <c r="C580" i="51"/>
  <c r="D580" i="51" s="1"/>
  <c r="M580" i="51"/>
  <c r="N580" i="51" s="1"/>
  <c r="H580" i="51"/>
  <c r="I580" i="51" s="1"/>
  <c r="P520" i="52"/>
  <c r="O520" i="52"/>
  <c r="E448" i="50"/>
  <c r="F448" i="50"/>
  <c r="A451" i="50"/>
  <c r="B450" i="50"/>
  <c r="H521" i="52"/>
  <c r="I521" i="52" s="1"/>
  <c r="M521" i="52"/>
  <c r="N521" i="52" s="1"/>
  <c r="C521" i="52"/>
  <c r="D521" i="52" s="1"/>
  <c r="O579" i="51"/>
  <c r="P579" i="51"/>
  <c r="A523" i="52"/>
  <c r="B522" i="52"/>
  <c r="F520" i="52"/>
  <c r="E520" i="52"/>
  <c r="J579" i="51"/>
  <c r="K579" i="51"/>
  <c r="M449" i="50"/>
  <c r="N449" i="50" s="1"/>
  <c r="H449" i="50"/>
  <c r="I449" i="50" s="1"/>
  <c r="C449" i="50"/>
  <c r="D449" i="50" s="1"/>
  <c r="B131" i="53"/>
  <c r="D130" i="53"/>
  <c r="C130" i="53"/>
  <c r="E130" i="53" s="1"/>
  <c r="E129" i="53"/>
  <c r="K521" i="52" l="1"/>
  <c r="J521" i="52"/>
  <c r="O449" i="50"/>
  <c r="P449" i="50"/>
  <c r="H450" i="50"/>
  <c r="I450" i="50" s="1"/>
  <c r="C450" i="50"/>
  <c r="D450" i="50" s="1"/>
  <c r="M450" i="50"/>
  <c r="N450" i="50" s="1"/>
  <c r="E580" i="51"/>
  <c r="F580" i="51"/>
  <c r="K449" i="50"/>
  <c r="J449" i="50"/>
  <c r="O580" i="51"/>
  <c r="P580" i="51"/>
  <c r="H522" i="52"/>
  <c r="I522" i="52" s="1"/>
  <c r="M522" i="52"/>
  <c r="N522" i="52" s="1"/>
  <c r="C522" i="52"/>
  <c r="D522" i="52" s="1"/>
  <c r="E521" i="52"/>
  <c r="F521" i="52"/>
  <c r="B451" i="50"/>
  <c r="A452" i="50"/>
  <c r="A583" i="51"/>
  <c r="B582" i="51"/>
  <c r="E449" i="50"/>
  <c r="F449" i="50"/>
  <c r="A524" i="52"/>
  <c r="B523" i="52"/>
  <c r="P521" i="52"/>
  <c r="O521" i="52"/>
  <c r="K580" i="51"/>
  <c r="J580" i="51"/>
  <c r="C581" i="51"/>
  <c r="D581" i="51" s="1"/>
  <c r="H581" i="51"/>
  <c r="I581" i="51" s="1"/>
  <c r="M581" i="51"/>
  <c r="N581" i="51" s="1"/>
  <c r="C291" i="53"/>
  <c r="C131" i="53"/>
  <c r="D131" i="53"/>
  <c r="C292" i="53" s="1"/>
  <c r="B132" i="53"/>
  <c r="B452" i="50" l="1"/>
  <c r="A453" i="50"/>
  <c r="F581" i="51"/>
  <c r="E581" i="51"/>
  <c r="H451" i="50"/>
  <c r="I451" i="50" s="1"/>
  <c r="M451" i="50"/>
  <c r="N451" i="50" s="1"/>
  <c r="C451" i="50"/>
  <c r="D451" i="50" s="1"/>
  <c r="P522" i="52"/>
  <c r="O522" i="52"/>
  <c r="O450" i="50"/>
  <c r="P450" i="50"/>
  <c r="F522" i="52"/>
  <c r="E522" i="52"/>
  <c r="H523" i="52"/>
  <c r="I523" i="52" s="1"/>
  <c r="M523" i="52"/>
  <c r="N523" i="52" s="1"/>
  <c r="C523" i="52"/>
  <c r="D523" i="52" s="1"/>
  <c r="C582" i="51"/>
  <c r="D582" i="51" s="1"/>
  <c r="M582" i="51"/>
  <c r="N582" i="51" s="1"/>
  <c r="H582" i="51"/>
  <c r="I582" i="51" s="1"/>
  <c r="K522" i="52"/>
  <c r="J522" i="52"/>
  <c r="F450" i="50"/>
  <c r="E450" i="50"/>
  <c r="K581" i="51"/>
  <c r="J581" i="51"/>
  <c r="P581" i="51"/>
  <c r="O581" i="51"/>
  <c r="A525" i="52"/>
  <c r="B524" i="52"/>
  <c r="B583" i="51"/>
  <c r="A584" i="51"/>
  <c r="J450" i="50"/>
  <c r="K450" i="50"/>
  <c r="C132" i="53"/>
  <c r="D132" i="53"/>
  <c r="C293" i="53" s="1"/>
  <c r="B133" i="53"/>
  <c r="E131" i="53"/>
  <c r="B584" i="51" l="1"/>
  <c r="A585" i="51"/>
  <c r="K582" i="51"/>
  <c r="J582" i="51"/>
  <c r="O523" i="52"/>
  <c r="P523" i="52"/>
  <c r="E451" i="50"/>
  <c r="F451" i="50"/>
  <c r="B525" i="52"/>
  <c r="A526" i="52"/>
  <c r="H583" i="51"/>
  <c r="I583" i="51" s="1"/>
  <c r="C583" i="51"/>
  <c r="D583" i="51" s="1"/>
  <c r="M583" i="51"/>
  <c r="N583" i="51" s="1"/>
  <c r="P582" i="51"/>
  <c r="O582" i="51"/>
  <c r="J523" i="52"/>
  <c r="K523" i="52"/>
  <c r="O451" i="50"/>
  <c r="P451" i="50"/>
  <c r="A454" i="50"/>
  <c r="B453" i="50"/>
  <c r="F523" i="52"/>
  <c r="E523" i="52"/>
  <c r="C524" i="52"/>
  <c r="D524" i="52" s="1"/>
  <c r="H524" i="52"/>
  <c r="I524" i="52" s="1"/>
  <c r="M524" i="52"/>
  <c r="N524" i="52" s="1"/>
  <c r="E582" i="51"/>
  <c r="F582" i="51"/>
  <c r="J451" i="50"/>
  <c r="K451" i="50"/>
  <c r="C452" i="50"/>
  <c r="D452" i="50" s="1"/>
  <c r="M452" i="50"/>
  <c r="N452" i="50" s="1"/>
  <c r="H452" i="50"/>
  <c r="I452" i="50" s="1"/>
  <c r="C133" i="53"/>
  <c r="D133" i="53"/>
  <c r="C294" i="53" s="1"/>
  <c r="B134" i="53"/>
  <c r="E132" i="53"/>
  <c r="F524" i="52" l="1"/>
  <c r="E524" i="52"/>
  <c r="B454" i="50"/>
  <c r="A455" i="50"/>
  <c r="E452" i="50"/>
  <c r="F452" i="50"/>
  <c r="K583" i="51"/>
  <c r="J583" i="51"/>
  <c r="O524" i="52"/>
  <c r="P524" i="52"/>
  <c r="A527" i="52"/>
  <c r="B526" i="52"/>
  <c r="B585" i="51"/>
  <c r="A586" i="51"/>
  <c r="O452" i="50"/>
  <c r="P452" i="50"/>
  <c r="E583" i="51"/>
  <c r="F583" i="51"/>
  <c r="K452" i="50"/>
  <c r="J452" i="50"/>
  <c r="J524" i="52"/>
  <c r="K524" i="52"/>
  <c r="C453" i="50"/>
  <c r="D453" i="50" s="1"/>
  <c r="H453" i="50"/>
  <c r="I453" i="50" s="1"/>
  <c r="M453" i="50"/>
  <c r="N453" i="50" s="1"/>
  <c r="O583" i="51"/>
  <c r="P583" i="51"/>
  <c r="C525" i="52"/>
  <c r="D525" i="52" s="1"/>
  <c r="H525" i="52"/>
  <c r="I525" i="52" s="1"/>
  <c r="M525" i="52"/>
  <c r="N525" i="52" s="1"/>
  <c r="H584" i="51"/>
  <c r="I584" i="51" s="1"/>
  <c r="C584" i="51"/>
  <c r="D584" i="51" s="1"/>
  <c r="M584" i="51"/>
  <c r="N584" i="51" s="1"/>
  <c r="D134" i="53"/>
  <c r="C134" i="53"/>
  <c r="B135" i="53"/>
  <c r="E133" i="53"/>
  <c r="K453" i="50" l="1"/>
  <c r="J453" i="50"/>
  <c r="H526" i="52"/>
  <c r="I526" i="52" s="1"/>
  <c r="M526" i="52"/>
  <c r="N526" i="52" s="1"/>
  <c r="C526" i="52"/>
  <c r="D526" i="52" s="1"/>
  <c r="J584" i="51"/>
  <c r="K584" i="51"/>
  <c r="F453" i="50"/>
  <c r="E453" i="50"/>
  <c r="B527" i="52"/>
  <c r="A528" i="52"/>
  <c r="C454" i="50"/>
  <c r="D454" i="50" s="1"/>
  <c r="M454" i="50"/>
  <c r="N454" i="50" s="1"/>
  <c r="H454" i="50"/>
  <c r="I454" i="50" s="1"/>
  <c r="E584" i="51"/>
  <c r="F584" i="51"/>
  <c r="E134" i="53"/>
  <c r="P525" i="52"/>
  <c r="O525" i="52"/>
  <c r="A587" i="51"/>
  <c r="B586" i="51"/>
  <c r="E525" i="52"/>
  <c r="F525" i="52"/>
  <c r="B455" i="50"/>
  <c r="A456" i="50"/>
  <c r="O584" i="51"/>
  <c r="P584" i="51"/>
  <c r="K525" i="52"/>
  <c r="J525" i="52"/>
  <c r="O453" i="50"/>
  <c r="P453" i="50"/>
  <c r="C585" i="51"/>
  <c r="D585" i="51" s="1"/>
  <c r="M585" i="51"/>
  <c r="N585" i="51" s="1"/>
  <c r="H585" i="51"/>
  <c r="I585" i="51" s="1"/>
  <c r="C295" i="53"/>
  <c r="C135" i="53"/>
  <c r="E135" i="53" s="1"/>
  <c r="B136" i="53"/>
  <c r="D135" i="53"/>
  <c r="M455" i="50" l="1"/>
  <c r="N455" i="50" s="1"/>
  <c r="C455" i="50"/>
  <c r="D455" i="50" s="1"/>
  <c r="H455" i="50"/>
  <c r="I455" i="50" s="1"/>
  <c r="F454" i="50"/>
  <c r="E454" i="50"/>
  <c r="A529" i="52"/>
  <c r="B528" i="52"/>
  <c r="J526" i="52"/>
  <c r="K526" i="52"/>
  <c r="E585" i="51"/>
  <c r="F585" i="51"/>
  <c r="O526" i="52"/>
  <c r="P526" i="52"/>
  <c r="K585" i="51"/>
  <c r="J585" i="51"/>
  <c r="J454" i="50"/>
  <c r="K454" i="50"/>
  <c r="C527" i="52"/>
  <c r="D527" i="52" s="1"/>
  <c r="H527" i="52"/>
  <c r="I527" i="52" s="1"/>
  <c r="M527" i="52"/>
  <c r="N527" i="52" s="1"/>
  <c r="B587" i="51"/>
  <c r="A588" i="51"/>
  <c r="O585" i="51"/>
  <c r="P585" i="51"/>
  <c r="B456" i="50"/>
  <c r="A457" i="50"/>
  <c r="C586" i="51"/>
  <c r="D586" i="51" s="1"/>
  <c r="M586" i="51"/>
  <c r="N586" i="51" s="1"/>
  <c r="H586" i="51"/>
  <c r="I586" i="51" s="1"/>
  <c r="O454" i="50"/>
  <c r="P454" i="50"/>
  <c r="F526" i="52"/>
  <c r="E526" i="52"/>
  <c r="C296" i="53"/>
  <c r="B137" i="53"/>
  <c r="D136" i="53"/>
  <c r="C136" i="53"/>
  <c r="E136" i="53" s="1"/>
  <c r="F586" i="51" l="1"/>
  <c r="E586" i="51"/>
  <c r="K527" i="52"/>
  <c r="J527" i="52"/>
  <c r="M528" i="52"/>
  <c r="N528" i="52" s="1"/>
  <c r="H528" i="52"/>
  <c r="I528" i="52" s="1"/>
  <c r="C528" i="52"/>
  <c r="D528" i="52" s="1"/>
  <c r="J455" i="50"/>
  <c r="K455" i="50"/>
  <c r="P586" i="51"/>
  <c r="O586" i="51"/>
  <c r="A458" i="50"/>
  <c r="B457" i="50"/>
  <c r="B588" i="51"/>
  <c r="A589" i="51"/>
  <c r="F527" i="52"/>
  <c r="E527" i="52"/>
  <c r="A530" i="52"/>
  <c r="B529" i="52"/>
  <c r="E455" i="50"/>
  <c r="F455" i="50"/>
  <c r="O527" i="52"/>
  <c r="P527" i="52"/>
  <c r="K586" i="51"/>
  <c r="J586" i="51"/>
  <c r="M456" i="50"/>
  <c r="N456" i="50" s="1"/>
  <c r="H456" i="50"/>
  <c r="I456" i="50" s="1"/>
  <c r="C456" i="50"/>
  <c r="D456" i="50" s="1"/>
  <c r="C587" i="51"/>
  <c r="D587" i="51" s="1"/>
  <c r="M587" i="51"/>
  <c r="N587" i="51" s="1"/>
  <c r="H587" i="51"/>
  <c r="I587" i="51" s="1"/>
  <c r="P455" i="50"/>
  <c r="O455" i="50"/>
  <c r="B138" i="53"/>
  <c r="D137" i="53"/>
  <c r="C137" i="53"/>
  <c r="C297" i="53"/>
  <c r="E456" i="50" l="1"/>
  <c r="F456" i="50"/>
  <c r="J587" i="51"/>
  <c r="K587" i="51"/>
  <c r="J456" i="50"/>
  <c r="K456" i="50"/>
  <c r="C529" i="52"/>
  <c r="D529" i="52" s="1"/>
  <c r="H529" i="52"/>
  <c r="I529" i="52" s="1"/>
  <c r="M529" i="52"/>
  <c r="N529" i="52" s="1"/>
  <c r="B589" i="51"/>
  <c r="A590" i="51"/>
  <c r="F528" i="52"/>
  <c r="E528" i="52"/>
  <c r="P587" i="51"/>
  <c r="O587" i="51"/>
  <c r="O456" i="50"/>
  <c r="P456" i="50"/>
  <c r="A531" i="52"/>
  <c r="B530" i="52"/>
  <c r="C588" i="51"/>
  <c r="D588" i="51" s="1"/>
  <c r="M588" i="51"/>
  <c r="N588" i="51" s="1"/>
  <c r="H588" i="51"/>
  <c r="I588" i="51" s="1"/>
  <c r="K528" i="52"/>
  <c r="J528" i="52"/>
  <c r="B458" i="50"/>
  <c r="A459" i="50"/>
  <c r="C298" i="53"/>
  <c r="E587" i="51"/>
  <c r="F587" i="51"/>
  <c r="M457" i="50"/>
  <c r="N457" i="50" s="1"/>
  <c r="C457" i="50"/>
  <c r="D457" i="50" s="1"/>
  <c r="H457" i="50"/>
  <c r="I457" i="50" s="1"/>
  <c r="O528" i="52"/>
  <c r="P528" i="52"/>
  <c r="D138" i="53"/>
  <c r="C138" i="53"/>
  <c r="B139" i="53"/>
  <c r="E137" i="53"/>
  <c r="K457" i="50" l="1"/>
  <c r="J457" i="50"/>
  <c r="E457" i="50"/>
  <c r="F457" i="50"/>
  <c r="C530" i="52"/>
  <c r="D530" i="52" s="1"/>
  <c r="H530" i="52"/>
  <c r="I530" i="52" s="1"/>
  <c r="M530" i="52"/>
  <c r="N530" i="52" s="1"/>
  <c r="B590" i="51"/>
  <c r="A591" i="51"/>
  <c r="E529" i="52"/>
  <c r="F529" i="52"/>
  <c r="F588" i="51"/>
  <c r="E588" i="51"/>
  <c r="E138" i="53"/>
  <c r="P457" i="50"/>
  <c r="O457" i="50"/>
  <c r="B459" i="50"/>
  <c r="A460" i="50"/>
  <c r="J588" i="51"/>
  <c r="K588" i="51"/>
  <c r="B531" i="52"/>
  <c r="A532" i="52"/>
  <c r="H589" i="51"/>
  <c r="I589" i="51" s="1"/>
  <c r="M589" i="51"/>
  <c r="N589" i="51" s="1"/>
  <c r="C589" i="51"/>
  <c r="D589" i="51" s="1"/>
  <c r="J529" i="52"/>
  <c r="K529" i="52"/>
  <c r="M458" i="50"/>
  <c r="N458" i="50" s="1"/>
  <c r="C458" i="50"/>
  <c r="D458" i="50" s="1"/>
  <c r="H458" i="50"/>
  <c r="I458" i="50" s="1"/>
  <c r="P588" i="51"/>
  <c r="O588" i="51"/>
  <c r="P529" i="52"/>
  <c r="O529" i="52"/>
  <c r="B140" i="53"/>
  <c r="D139" i="53"/>
  <c r="C139" i="53"/>
  <c r="E139" i="53" s="1"/>
  <c r="C299" i="53"/>
  <c r="O458" i="50" l="1"/>
  <c r="P458" i="50"/>
  <c r="C590" i="51"/>
  <c r="D590" i="51" s="1"/>
  <c r="M590" i="51"/>
  <c r="N590" i="51" s="1"/>
  <c r="H590" i="51"/>
  <c r="I590" i="51" s="1"/>
  <c r="K589" i="51"/>
  <c r="J589" i="51"/>
  <c r="P530" i="52"/>
  <c r="O530" i="52"/>
  <c r="P589" i="51"/>
  <c r="O589" i="51"/>
  <c r="K458" i="50"/>
  <c r="J458" i="50"/>
  <c r="B532" i="52"/>
  <c r="A533" i="52"/>
  <c r="A461" i="50"/>
  <c r="B460" i="50"/>
  <c r="J530" i="52"/>
  <c r="K530" i="52"/>
  <c r="F458" i="50"/>
  <c r="E458" i="50"/>
  <c r="E589" i="51"/>
  <c r="F589" i="51"/>
  <c r="H531" i="52"/>
  <c r="I531" i="52" s="1"/>
  <c r="C531" i="52"/>
  <c r="D531" i="52" s="1"/>
  <c r="M531" i="52"/>
  <c r="N531" i="52" s="1"/>
  <c r="M459" i="50"/>
  <c r="N459" i="50" s="1"/>
  <c r="H459" i="50"/>
  <c r="I459" i="50" s="1"/>
  <c r="C459" i="50"/>
  <c r="D459" i="50" s="1"/>
  <c r="B591" i="51"/>
  <c r="A592" i="51"/>
  <c r="F530" i="52"/>
  <c r="E530" i="52"/>
  <c r="C300" i="53"/>
  <c r="D140" i="53"/>
  <c r="C301" i="53" s="1"/>
  <c r="C140" i="53"/>
  <c r="B141" i="53"/>
  <c r="J531" i="52" l="1"/>
  <c r="K531" i="52"/>
  <c r="B461" i="50"/>
  <c r="A462" i="50"/>
  <c r="A593" i="51"/>
  <c r="B592" i="51"/>
  <c r="O459" i="50"/>
  <c r="P459" i="50"/>
  <c r="B533" i="52"/>
  <c r="A534" i="52"/>
  <c r="E590" i="51"/>
  <c r="F590" i="51"/>
  <c r="K459" i="50"/>
  <c r="J459" i="50"/>
  <c r="P590" i="51"/>
  <c r="O590" i="51"/>
  <c r="H591" i="51"/>
  <c r="I591" i="51" s="1"/>
  <c r="C591" i="51"/>
  <c r="D591" i="51" s="1"/>
  <c r="M591" i="51"/>
  <c r="N591" i="51" s="1"/>
  <c r="O531" i="52"/>
  <c r="P531" i="52"/>
  <c r="C532" i="52"/>
  <c r="D532" i="52" s="1"/>
  <c r="H532" i="52"/>
  <c r="I532" i="52" s="1"/>
  <c r="M532" i="52"/>
  <c r="N532" i="52" s="1"/>
  <c r="E140" i="53"/>
  <c r="E459" i="50"/>
  <c r="F459" i="50"/>
  <c r="E531" i="52"/>
  <c r="F531" i="52"/>
  <c r="H460" i="50"/>
  <c r="I460" i="50" s="1"/>
  <c r="C460" i="50"/>
  <c r="D460" i="50" s="1"/>
  <c r="M460" i="50"/>
  <c r="N460" i="50" s="1"/>
  <c r="J590" i="51"/>
  <c r="K590" i="51"/>
  <c r="C141" i="53"/>
  <c r="E141" i="53" s="1"/>
  <c r="D141" i="53"/>
  <c r="B142" i="53"/>
  <c r="P460" i="50" l="1"/>
  <c r="O460" i="50"/>
  <c r="E460" i="50"/>
  <c r="F460" i="50"/>
  <c r="K532" i="52"/>
  <c r="J532" i="52"/>
  <c r="P591" i="51"/>
  <c r="O591" i="51"/>
  <c r="M461" i="50"/>
  <c r="N461" i="50" s="1"/>
  <c r="C461" i="50"/>
  <c r="D461" i="50" s="1"/>
  <c r="H461" i="50"/>
  <c r="I461" i="50" s="1"/>
  <c r="B462" i="50"/>
  <c r="A463" i="50"/>
  <c r="K460" i="50"/>
  <c r="J460" i="50"/>
  <c r="E532" i="52"/>
  <c r="F532" i="52"/>
  <c r="F591" i="51"/>
  <c r="E591" i="51"/>
  <c r="A535" i="52"/>
  <c r="B534" i="52"/>
  <c r="C592" i="51"/>
  <c r="D592" i="51" s="1"/>
  <c r="M592" i="51"/>
  <c r="N592" i="51" s="1"/>
  <c r="H592" i="51"/>
  <c r="I592" i="51" s="1"/>
  <c r="P532" i="52"/>
  <c r="O532" i="52"/>
  <c r="J591" i="51"/>
  <c r="K591" i="51"/>
  <c r="C533" i="52"/>
  <c r="D533" i="52" s="1"/>
  <c r="H533" i="52"/>
  <c r="I533" i="52" s="1"/>
  <c r="M533" i="52"/>
  <c r="N533" i="52" s="1"/>
  <c r="A594" i="51"/>
  <c r="B593" i="51"/>
  <c r="D142" i="53"/>
  <c r="C303" i="53" s="1"/>
  <c r="B143" i="53"/>
  <c r="C142" i="53"/>
  <c r="C302" i="53"/>
  <c r="A536" i="52" l="1"/>
  <c r="B535" i="52"/>
  <c r="C462" i="50"/>
  <c r="D462" i="50" s="1"/>
  <c r="H462" i="50"/>
  <c r="I462" i="50" s="1"/>
  <c r="M462" i="50"/>
  <c r="N462" i="50" s="1"/>
  <c r="P533" i="52"/>
  <c r="O533" i="52"/>
  <c r="P592" i="51"/>
  <c r="O592" i="51"/>
  <c r="K461" i="50"/>
  <c r="J461" i="50"/>
  <c r="B594" i="51"/>
  <c r="A595" i="51"/>
  <c r="J533" i="52"/>
  <c r="K533" i="52"/>
  <c r="F592" i="51"/>
  <c r="E592" i="51"/>
  <c r="E461" i="50"/>
  <c r="F461" i="50"/>
  <c r="J592" i="51"/>
  <c r="K592" i="51"/>
  <c r="C593" i="51"/>
  <c r="D593" i="51" s="1"/>
  <c r="M593" i="51"/>
  <c r="N593" i="51" s="1"/>
  <c r="H593" i="51"/>
  <c r="I593" i="51" s="1"/>
  <c r="F533" i="52"/>
  <c r="E533" i="52"/>
  <c r="C534" i="52"/>
  <c r="D534" i="52" s="1"/>
  <c r="M534" i="52"/>
  <c r="N534" i="52" s="1"/>
  <c r="H534" i="52"/>
  <c r="I534" i="52" s="1"/>
  <c r="A464" i="50"/>
  <c r="B463" i="50"/>
  <c r="P461" i="50"/>
  <c r="O461" i="50"/>
  <c r="E142" i="53"/>
  <c r="C143" i="53"/>
  <c r="B144" i="53"/>
  <c r="D143" i="53"/>
  <c r="C304" i="53" s="1"/>
  <c r="P534" i="52" l="1"/>
  <c r="O534" i="52"/>
  <c r="C594" i="51"/>
  <c r="D594" i="51" s="1"/>
  <c r="H594" i="51"/>
  <c r="I594" i="51" s="1"/>
  <c r="M594" i="51"/>
  <c r="N594" i="51" s="1"/>
  <c r="M463" i="50"/>
  <c r="N463" i="50" s="1"/>
  <c r="H463" i="50"/>
  <c r="I463" i="50" s="1"/>
  <c r="C463" i="50"/>
  <c r="D463" i="50" s="1"/>
  <c r="F534" i="52"/>
  <c r="E534" i="52"/>
  <c r="P593" i="51"/>
  <c r="O593" i="51"/>
  <c r="E462" i="50"/>
  <c r="F462" i="50"/>
  <c r="J462" i="50"/>
  <c r="K462" i="50"/>
  <c r="A465" i="50"/>
  <c r="B464" i="50"/>
  <c r="F593" i="51"/>
  <c r="E593" i="51"/>
  <c r="H535" i="52"/>
  <c r="I535" i="52" s="1"/>
  <c r="M535" i="52"/>
  <c r="N535" i="52" s="1"/>
  <c r="C535" i="52"/>
  <c r="D535" i="52" s="1"/>
  <c r="K593" i="51"/>
  <c r="J593" i="51"/>
  <c r="J534" i="52"/>
  <c r="K534" i="52"/>
  <c r="A596" i="51"/>
  <c r="B595" i="51"/>
  <c r="P462" i="50"/>
  <c r="O462" i="50"/>
  <c r="B536" i="52"/>
  <c r="A537" i="52"/>
  <c r="B145" i="53"/>
  <c r="C144" i="53"/>
  <c r="E144" i="53" s="1"/>
  <c r="D144" i="53"/>
  <c r="E143" i="53"/>
  <c r="C536" i="52" l="1"/>
  <c r="D536" i="52" s="1"/>
  <c r="H536" i="52"/>
  <c r="I536" i="52" s="1"/>
  <c r="M536" i="52"/>
  <c r="N536" i="52" s="1"/>
  <c r="E535" i="52"/>
  <c r="F535" i="52"/>
  <c r="J463" i="50"/>
  <c r="K463" i="50"/>
  <c r="F594" i="51"/>
  <c r="E594" i="51"/>
  <c r="B596" i="51"/>
  <c r="A597" i="51"/>
  <c r="F463" i="50"/>
  <c r="E463" i="50"/>
  <c r="P535" i="52"/>
  <c r="O535" i="52"/>
  <c r="M464" i="50"/>
  <c r="N464" i="50" s="1"/>
  <c r="H464" i="50"/>
  <c r="I464" i="50" s="1"/>
  <c r="C464" i="50"/>
  <c r="D464" i="50" s="1"/>
  <c r="O463" i="50"/>
  <c r="P463" i="50"/>
  <c r="J594" i="51"/>
  <c r="K594" i="51"/>
  <c r="B537" i="52"/>
  <c r="A538" i="52"/>
  <c r="H595" i="51"/>
  <c r="I595" i="51" s="1"/>
  <c r="C595" i="51"/>
  <c r="D595" i="51" s="1"/>
  <c r="M595" i="51"/>
  <c r="N595" i="51" s="1"/>
  <c r="K535" i="52"/>
  <c r="J535" i="52"/>
  <c r="B465" i="50"/>
  <c r="A466" i="50"/>
  <c r="O594" i="51"/>
  <c r="P594" i="51"/>
  <c r="D145" i="53"/>
  <c r="C306" i="53" s="1"/>
  <c r="C145" i="53"/>
  <c r="B146" i="53"/>
  <c r="C305" i="53"/>
  <c r="B538" i="52" l="1"/>
  <c r="A539" i="52"/>
  <c r="A467" i="50"/>
  <c r="B466" i="50"/>
  <c r="P595" i="51"/>
  <c r="O595" i="51"/>
  <c r="H537" i="52"/>
  <c r="I537" i="52" s="1"/>
  <c r="C537" i="52"/>
  <c r="D537" i="52" s="1"/>
  <c r="M537" i="52"/>
  <c r="N537" i="52" s="1"/>
  <c r="B597" i="51"/>
  <c r="A598" i="51"/>
  <c r="O536" i="52"/>
  <c r="P536" i="52"/>
  <c r="O464" i="50"/>
  <c r="P464" i="50"/>
  <c r="H465" i="50"/>
  <c r="I465" i="50" s="1"/>
  <c r="C465" i="50"/>
  <c r="D465" i="50" s="1"/>
  <c r="M465" i="50"/>
  <c r="N465" i="50" s="1"/>
  <c r="E595" i="51"/>
  <c r="F595" i="51"/>
  <c r="F464" i="50"/>
  <c r="E464" i="50"/>
  <c r="M596" i="51"/>
  <c r="N596" i="51" s="1"/>
  <c r="C596" i="51"/>
  <c r="D596" i="51" s="1"/>
  <c r="H596" i="51"/>
  <c r="I596" i="51" s="1"/>
  <c r="K536" i="52"/>
  <c r="J536" i="52"/>
  <c r="K595" i="51"/>
  <c r="J595" i="51"/>
  <c r="J464" i="50"/>
  <c r="K464" i="50"/>
  <c r="F536" i="52"/>
  <c r="E536" i="52"/>
  <c r="D146" i="53"/>
  <c r="C307" i="53" s="1"/>
  <c r="B147" i="53"/>
  <c r="C146" i="53"/>
  <c r="E145" i="53"/>
  <c r="F596" i="51" l="1"/>
  <c r="E596" i="51"/>
  <c r="E537" i="52"/>
  <c r="F537" i="52"/>
  <c r="O596" i="51"/>
  <c r="P596" i="51"/>
  <c r="B598" i="51"/>
  <c r="A599" i="51"/>
  <c r="J537" i="52"/>
  <c r="K537" i="52"/>
  <c r="B467" i="50"/>
  <c r="A468" i="50"/>
  <c r="K465" i="50"/>
  <c r="J465" i="50"/>
  <c r="H466" i="50"/>
  <c r="I466" i="50" s="1"/>
  <c r="C466" i="50"/>
  <c r="D466" i="50" s="1"/>
  <c r="M466" i="50"/>
  <c r="N466" i="50" s="1"/>
  <c r="P465" i="50"/>
  <c r="O465" i="50"/>
  <c r="H597" i="51"/>
  <c r="I597" i="51" s="1"/>
  <c r="C597" i="51"/>
  <c r="D597" i="51" s="1"/>
  <c r="M597" i="51"/>
  <c r="N597" i="51" s="1"/>
  <c r="B539" i="52"/>
  <c r="A540" i="52"/>
  <c r="J596" i="51"/>
  <c r="K596" i="51"/>
  <c r="F465" i="50"/>
  <c r="E465" i="50"/>
  <c r="O537" i="52"/>
  <c r="P537" i="52"/>
  <c r="H538" i="52"/>
  <c r="I538" i="52" s="1"/>
  <c r="M538" i="52"/>
  <c r="N538" i="52" s="1"/>
  <c r="C538" i="52"/>
  <c r="D538" i="52" s="1"/>
  <c r="C147" i="53"/>
  <c r="B148" i="53"/>
  <c r="D147" i="53"/>
  <c r="C308" i="53" s="1"/>
  <c r="E146" i="53"/>
  <c r="F466" i="50" l="1"/>
  <c r="E466" i="50"/>
  <c r="B468" i="50"/>
  <c r="A469" i="50"/>
  <c r="B599" i="51"/>
  <c r="A600" i="51"/>
  <c r="J538" i="52"/>
  <c r="K538" i="52"/>
  <c r="H539" i="52"/>
  <c r="I539" i="52" s="1"/>
  <c r="M539" i="52"/>
  <c r="N539" i="52" s="1"/>
  <c r="C539" i="52"/>
  <c r="D539" i="52" s="1"/>
  <c r="K466" i="50"/>
  <c r="J466" i="50"/>
  <c r="C467" i="50"/>
  <c r="D467" i="50" s="1"/>
  <c r="H467" i="50"/>
  <c r="I467" i="50" s="1"/>
  <c r="M467" i="50"/>
  <c r="N467" i="50" s="1"/>
  <c r="C598" i="51"/>
  <c r="D598" i="51" s="1"/>
  <c r="H598" i="51"/>
  <c r="I598" i="51" s="1"/>
  <c r="M598" i="51"/>
  <c r="N598" i="51" s="1"/>
  <c r="P538" i="52"/>
  <c r="O538" i="52"/>
  <c r="K597" i="51"/>
  <c r="J597" i="51"/>
  <c r="O597" i="51"/>
  <c r="P597" i="51"/>
  <c r="B540" i="52"/>
  <c r="A541" i="52"/>
  <c r="E538" i="52"/>
  <c r="F538" i="52"/>
  <c r="F597" i="51"/>
  <c r="E597" i="51"/>
  <c r="O466" i="50"/>
  <c r="P466" i="50"/>
  <c r="B149" i="53"/>
  <c r="C148" i="53"/>
  <c r="D148" i="53"/>
  <c r="E147" i="53"/>
  <c r="B469" i="50" l="1"/>
  <c r="A470" i="50"/>
  <c r="C309" i="53"/>
  <c r="A542" i="52"/>
  <c r="B541" i="52"/>
  <c r="P598" i="51"/>
  <c r="O598" i="51"/>
  <c r="J467" i="50"/>
  <c r="K467" i="50"/>
  <c r="F539" i="52"/>
  <c r="E539" i="52"/>
  <c r="H468" i="50"/>
  <c r="I468" i="50" s="1"/>
  <c r="M468" i="50"/>
  <c r="N468" i="50" s="1"/>
  <c r="C468" i="50"/>
  <c r="D468" i="50" s="1"/>
  <c r="C540" i="52"/>
  <c r="D540" i="52" s="1"/>
  <c r="H540" i="52"/>
  <c r="I540" i="52" s="1"/>
  <c r="M540" i="52"/>
  <c r="N540" i="52" s="1"/>
  <c r="J598" i="51"/>
  <c r="K598" i="51"/>
  <c r="E467" i="50"/>
  <c r="F467" i="50"/>
  <c r="P539" i="52"/>
  <c r="O539" i="52"/>
  <c r="A601" i="51"/>
  <c r="B600" i="51"/>
  <c r="O467" i="50"/>
  <c r="P467" i="50"/>
  <c r="E598" i="51"/>
  <c r="F598" i="51"/>
  <c r="K539" i="52"/>
  <c r="J539" i="52"/>
  <c r="H599" i="51"/>
  <c r="I599" i="51" s="1"/>
  <c r="M599" i="51"/>
  <c r="N599" i="51" s="1"/>
  <c r="C599" i="51"/>
  <c r="D599" i="51" s="1"/>
  <c r="B150" i="53"/>
  <c r="C149" i="53"/>
  <c r="D149" i="53"/>
  <c r="C310" i="53" s="1"/>
  <c r="E148" i="53"/>
  <c r="A602" i="51" l="1"/>
  <c r="B601" i="51"/>
  <c r="E540" i="52"/>
  <c r="F540" i="52"/>
  <c r="K468" i="50"/>
  <c r="J468" i="50"/>
  <c r="E599" i="51"/>
  <c r="F599" i="51"/>
  <c r="F468" i="50"/>
  <c r="E468" i="50"/>
  <c r="B470" i="50"/>
  <c r="A471" i="50"/>
  <c r="J599" i="51"/>
  <c r="K599" i="51"/>
  <c r="K540" i="52"/>
  <c r="J540" i="52"/>
  <c r="A543" i="52"/>
  <c r="B542" i="52"/>
  <c r="O599" i="51"/>
  <c r="P599" i="51"/>
  <c r="C600" i="51"/>
  <c r="D600" i="51" s="1"/>
  <c r="M600" i="51"/>
  <c r="N600" i="51" s="1"/>
  <c r="H600" i="51"/>
  <c r="I600" i="51" s="1"/>
  <c r="O540" i="52"/>
  <c r="P540" i="52"/>
  <c r="P468" i="50"/>
  <c r="O468" i="50"/>
  <c r="H541" i="52"/>
  <c r="I541" i="52" s="1"/>
  <c r="C541" i="52"/>
  <c r="D541" i="52" s="1"/>
  <c r="M541" i="52"/>
  <c r="N541" i="52" s="1"/>
  <c r="M469" i="50"/>
  <c r="N469" i="50" s="1"/>
  <c r="C469" i="50"/>
  <c r="D469" i="50" s="1"/>
  <c r="H469" i="50"/>
  <c r="I469" i="50" s="1"/>
  <c r="D150" i="53"/>
  <c r="C311" i="53" s="1"/>
  <c r="B151" i="53"/>
  <c r="C150" i="53"/>
  <c r="E149" i="53"/>
  <c r="A472" i="50" l="1"/>
  <c r="B471" i="50"/>
  <c r="O469" i="50"/>
  <c r="P469" i="50"/>
  <c r="K600" i="51"/>
  <c r="J600" i="51"/>
  <c r="M470" i="50"/>
  <c r="N470" i="50" s="1"/>
  <c r="C470" i="50"/>
  <c r="D470" i="50" s="1"/>
  <c r="H470" i="50"/>
  <c r="I470" i="50" s="1"/>
  <c r="K541" i="52"/>
  <c r="J541" i="52"/>
  <c r="P541" i="52"/>
  <c r="O541" i="52"/>
  <c r="O600" i="51"/>
  <c r="P600" i="51"/>
  <c r="H542" i="52"/>
  <c r="I542" i="52" s="1"/>
  <c r="C542" i="52"/>
  <c r="D542" i="52" s="1"/>
  <c r="M542" i="52"/>
  <c r="N542" i="52" s="1"/>
  <c r="M601" i="51"/>
  <c r="N601" i="51" s="1"/>
  <c r="H601" i="51"/>
  <c r="I601" i="51" s="1"/>
  <c r="C601" i="51"/>
  <c r="D601" i="51" s="1"/>
  <c r="F469" i="50"/>
  <c r="E469" i="50"/>
  <c r="J469" i="50"/>
  <c r="K469" i="50"/>
  <c r="F541" i="52"/>
  <c r="E541" i="52"/>
  <c r="F600" i="51"/>
  <c r="E600" i="51"/>
  <c r="A544" i="52"/>
  <c r="B543" i="52"/>
  <c r="B602" i="51"/>
  <c r="A603" i="51"/>
  <c r="C151" i="53"/>
  <c r="B152" i="53"/>
  <c r="D151" i="53"/>
  <c r="E150" i="53"/>
  <c r="J601" i="51" l="1"/>
  <c r="K601" i="51"/>
  <c r="M543" i="52"/>
  <c r="N543" i="52" s="1"/>
  <c r="C543" i="52"/>
  <c r="D543" i="52" s="1"/>
  <c r="H543" i="52"/>
  <c r="I543" i="52" s="1"/>
  <c r="O601" i="51"/>
  <c r="P601" i="51"/>
  <c r="P470" i="50"/>
  <c r="O470" i="50"/>
  <c r="M602" i="51"/>
  <c r="N602" i="51" s="1"/>
  <c r="C602" i="51"/>
  <c r="D602" i="51" s="1"/>
  <c r="H602" i="51"/>
  <c r="I602" i="51" s="1"/>
  <c r="E470" i="50"/>
  <c r="F470" i="50"/>
  <c r="A545" i="52"/>
  <c r="B544" i="52"/>
  <c r="P542" i="52"/>
  <c r="O542" i="52"/>
  <c r="M471" i="50"/>
  <c r="N471" i="50" s="1"/>
  <c r="C471" i="50"/>
  <c r="D471" i="50" s="1"/>
  <c r="H471" i="50"/>
  <c r="I471" i="50" s="1"/>
  <c r="K542" i="52"/>
  <c r="J542" i="52"/>
  <c r="C312" i="53"/>
  <c r="A604" i="51"/>
  <c r="B603" i="51"/>
  <c r="F601" i="51"/>
  <c r="E601" i="51"/>
  <c r="F542" i="52"/>
  <c r="E542" i="52"/>
  <c r="K470" i="50"/>
  <c r="J470" i="50"/>
  <c r="B472" i="50"/>
  <c r="A473" i="50"/>
  <c r="D152" i="53"/>
  <c r="B153" i="53"/>
  <c r="C152" i="53"/>
  <c r="E151" i="53"/>
  <c r="K602" i="51" l="1"/>
  <c r="J602" i="51"/>
  <c r="O471" i="50"/>
  <c r="P471" i="50"/>
  <c r="A546" i="52"/>
  <c r="B545" i="52"/>
  <c r="E602" i="51"/>
  <c r="F602" i="51"/>
  <c r="P543" i="52"/>
  <c r="O543" i="52"/>
  <c r="E471" i="50"/>
  <c r="F471" i="50"/>
  <c r="C544" i="52"/>
  <c r="D544" i="52" s="1"/>
  <c r="H544" i="52"/>
  <c r="I544" i="52" s="1"/>
  <c r="M544" i="52"/>
  <c r="N544" i="52" s="1"/>
  <c r="B473" i="50"/>
  <c r="A474" i="50"/>
  <c r="H603" i="51"/>
  <c r="I603" i="51" s="1"/>
  <c r="M603" i="51"/>
  <c r="N603" i="51" s="1"/>
  <c r="C603" i="51"/>
  <c r="D603" i="51" s="1"/>
  <c r="O602" i="51"/>
  <c r="P602" i="51"/>
  <c r="F543" i="52"/>
  <c r="E543" i="52"/>
  <c r="E152" i="53"/>
  <c r="H472" i="50"/>
  <c r="I472" i="50" s="1"/>
  <c r="M472" i="50"/>
  <c r="N472" i="50" s="1"/>
  <c r="C472" i="50"/>
  <c r="D472" i="50" s="1"/>
  <c r="A605" i="51"/>
  <c r="B604" i="51"/>
  <c r="J471" i="50"/>
  <c r="K471" i="50"/>
  <c r="K543" i="52"/>
  <c r="J543" i="52"/>
  <c r="D153" i="53"/>
  <c r="C153" i="53"/>
  <c r="E153" i="53" s="1"/>
  <c r="B154" i="53"/>
  <c r="C313" i="53"/>
  <c r="O472" i="50" l="1"/>
  <c r="P472" i="50"/>
  <c r="O603" i="51"/>
  <c r="P603" i="51"/>
  <c r="O544" i="52"/>
  <c r="P544" i="52"/>
  <c r="F603" i="51"/>
  <c r="E603" i="51"/>
  <c r="M604" i="51"/>
  <c r="N604" i="51" s="1"/>
  <c r="H604" i="51"/>
  <c r="I604" i="51" s="1"/>
  <c r="C604" i="51"/>
  <c r="D604" i="51" s="1"/>
  <c r="J472" i="50"/>
  <c r="K472" i="50"/>
  <c r="J603" i="51"/>
  <c r="K603" i="51"/>
  <c r="J544" i="52"/>
  <c r="K544" i="52"/>
  <c r="C545" i="52"/>
  <c r="D545" i="52" s="1"/>
  <c r="M545" i="52"/>
  <c r="N545" i="52" s="1"/>
  <c r="H545" i="52"/>
  <c r="I545" i="52" s="1"/>
  <c r="F472" i="50"/>
  <c r="E472" i="50"/>
  <c r="H473" i="50"/>
  <c r="I473" i="50" s="1"/>
  <c r="M473" i="50"/>
  <c r="N473" i="50" s="1"/>
  <c r="C473" i="50"/>
  <c r="D473" i="50" s="1"/>
  <c r="B605" i="51"/>
  <c r="A606" i="51"/>
  <c r="B474" i="50"/>
  <c r="A475" i="50"/>
  <c r="F544" i="52"/>
  <c r="E544" i="52"/>
  <c r="A547" i="52"/>
  <c r="B546" i="52"/>
  <c r="B155" i="53"/>
  <c r="D154" i="53"/>
  <c r="C154" i="53"/>
  <c r="C314" i="53"/>
  <c r="K545" i="52" l="1"/>
  <c r="J545" i="52"/>
  <c r="B606" i="51"/>
  <c r="A607" i="51"/>
  <c r="J473" i="50"/>
  <c r="K473" i="50"/>
  <c r="P545" i="52"/>
  <c r="O545" i="52"/>
  <c r="E604" i="51"/>
  <c r="F604" i="51"/>
  <c r="P473" i="50"/>
  <c r="O473" i="50"/>
  <c r="M605" i="51"/>
  <c r="N605" i="51" s="1"/>
  <c r="C605" i="51"/>
  <c r="D605" i="51" s="1"/>
  <c r="H605" i="51"/>
  <c r="I605" i="51" s="1"/>
  <c r="F545" i="52"/>
  <c r="E545" i="52"/>
  <c r="J604" i="51"/>
  <c r="K604" i="51"/>
  <c r="B547" i="52"/>
  <c r="A548" i="52"/>
  <c r="H474" i="50"/>
  <c r="I474" i="50" s="1"/>
  <c r="M474" i="50"/>
  <c r="N474" i="50" s="1"/>
  <c r="C474" i="50"/>
  <c r="D474" i="50" s="1"/>
  <c r="E154" i="53"/>
  <c r="M546" i="52"/>
  <c r="N546" i="52" s="1"/>
  <c r="H546" i="52"/>
  <c r="I546" i="52" s="1"/>
  <c r="C546" i="52"/>
  <c r="D546" i="52" s="1"/>
  <c r="B475" i="50"/>
  <c r="A476" i="50"/>
  <c r="F473" i="50"/>
  <c r="E473" i="50"/>
  <c r="P604" i="51"/>
  <c r="O604" i="51"/>
  <c r="C155" i="53"/>
  <c r="B156" i="53"/>
  <c r="D155" i="53"/>
  <c r="C315" i="53"/>
  <c r="M547" i="52" l="1"/>
  <c r="N547" i="52" s="1"/>
  <c r="C547" i="52"/>
  <c r="D547" i="52" s="1"/>
  <c r="H547" i="52"/>
  <c r="I547" i="52" s="1"/>
  <c r="J546" i="52"/>
  <c r="K546" i="52"/>
  <c r="P474" i="50"/>
  <c r="O474" i="50"/>
  <c r="K605" i="51"/>
  <c r="J605" i="51"/>
  <c r="C606" i="51"/>
  <c r="D606" i="51" s="1"/>
  <c r="H606" i="51"/>
  <c r="I606" i="51" s="1"/>
  <c r="M606" i="51"/>
  <c r="N606" i="51" s="1"/>
  <c r="E546" i="52"/>
  <c r="F546" i="52"/>
  <c r="A477" i="50"/>
  <c r="B476" i="50"/>
  <c r="O546" i="52"/>
  <c r="P546" i="52"/>
  <c r="K474" i="50"/>
  <c r="J474" i="50"/>
  <c r="E605" i="51"/>
  <c r="F605" i="51"/>
  <c r="F474" i="50"/>
  <c r="E474" i="50"/>
  <c r="B607" i="51"/>
  <c r="A608" i="51"/>
  <c r="E155" i="53"/>
  <c r="C475" i="50"/>
  <c r="D475" i="50" s="1"/>
  <c r="M475" i="50"/>
  <c r="N475" i="50" s="1"/>
  <c r="H475" i="50"/>
  <c r="I475" i="50" s="1"/>
  <c r="B548" i="52"/>
  <c r="A549" i="52"/>
  <c r="O605" i="51"/>
  <c r="P605" i="51"/>
  <c r="D156" i="53"/>
  <c r="C156" i="53"/>
  <c r="E156" i="53" s="1"/>
  <c r="B157" i="53"/>
  <c r="C316" i="53"/>
  <c r="B549" i="52" l="1"/>
  <c r="A550" i="52"/>
  <c r="M476" i="50"/>
  <c r="N476" i="50" s="1"/>
  <c r="H476" i="50"/>
  <c r="I476" i="50" s="1"/>
  <c r="C476" i="50"/>
  <c r="D476" i="50" s="1"/>
  <c r="C548" i="52"/>
  <c r="D548" i="52" s="1"/>
  <c r="M548" i="52"/>
  <c r="N548" i="52" s="1"/>
  <c r="H548" i="52"/>
  <c r="I548" i="52" s="1"/>
  <c r="B477" i="50"/>
  <c r="A478" i="50"/>
  <c r="K606" i="51"/>
  <c r="J606" i="51"/>
  <c r="K547" i="52"/>
  <c r="J547" i="52"/>
  <c r="E475" i="50"/>
  <c r="F475" i="50"/>
  <c r="K475" i="50"/>
  <c r="J475" i="50"/>
  <c r="B608" i="51"/>
  <c r="A609" i="51"/>
  <c r="E606" i="51"/>
  <c r="F606" i="51"/>
  <c r="F547" i="52"/>
  <c r="E547" i="52"/>
  <c r="O606" i="51"/>
  <c r="P606" i="51"/>
  <c r="P475" i="50"/>
  <c r="O475" i="50"/>
  <c r="H607" i="51"/>
  <c r="I607" i="51" s="1"/>
  <c r="C607" i="51"/>
  <c r="D607" i="51" s="1"/>
  <c r="M607" i="51"/>
  <c r="N607" i="51" s="1"/>
  <c r="O547" i="52"/>
  <c r="P547" i="52"/>
  <c r="D157" i="53"/>
  <c r="B158" i="53"/>
  <c r="C157" i="53"/>
  <c r="C317" i="53"/>
  <c r="A610" i="51" l="1"/>
  <c r="B609" i="51"/>
  <c r="K476" i="50"/>
  <c r="J476" i="50"/>
  <c r="P607" i="51"/>
  <c r="O607" i="51"/>
  <c r="H608" i="51"/>
  <c r="I608" i="51" s="1"/>
  <c r="C608" i="51"/>
  <c r="D608" i="51" s="1"/>
  <c r="M608" i="51"/>
  <c r="N608" i="51" s="1"/>
  <c r="P548" i="52"/>
  <c r="O548" i="52"/>
  <c r="P476" i="50"/>
  <c r="O476" i="50"/>
  <c r="J548" i="52"/>
  <c r="K548" i="52"/>
  <c r="E157" i="53"/>
  <c r="F607" i="51"/>
  <c r="E607" i="51"/>
  <c r="B478" i="50"/>
  <c r="A479" i="50"/>
  <c r="E548" i="52"/>
  <c r="F548" i="52"/>
  <c r="A551" i="52"/>
  <c r="B550" i="52"/>
  <c r="J607" i="51"/>
  <c r="K607" i="51"/>
  <c r="C477" i="50"/>
  <c r="D477" i="50" s="1"/>
  <c r="H477" i="50"/>
  <c r="I477" i="50" s="1"/>
  <c r="M477" i="50"/>
  <c r="N477" i="50" s="1"/>
  <c r="F476" i="50"/>
  <c r="E476" i="50"/>
  <c r="C549" i="52"/>
  <c r="D549" i="52" s="1"/>
  <c r="H549" i="52"/>
  <c r="I549" i="52" s="1"/>
  <c r="M549" i="52"/>
  <c r="N549" i="52" s="1"/>
  <c r="B159" i="53"/>
  <c r="D158" i="53"/>
  <c r="C158" i="53"/>
  <c r="C318" i="53"/>
  <c r="M550" i="52" l="1"/>
  <c r="N550" i="52" s="1"/>
  <c r="H550" i="52"/>
  <c r="I550" i="52" s="1"/>
  <c r="C550" i="52"/>
  <c r="D550" i="52" s="1"/>
  <c r="F477" i="50"/>
  <c r="E477" i="50"/>
  <c r="A552" i="52"/>
  <c r="B551" i="52"/>
  <c r="C478" i="50"/>
  <c r="D478" i="50" s="1"/>
  <c r="M478" i="50"/>
  <c r="N478" i="50" s="1"/>
  <c r="H478" i="50"/>
  <c r="I478" i="50" s="1"/>
  <c r="J608" i="51"/>
  <c r="K608" i="51"/>
  <c r="J477" i="50"/>
  <c r="K477" i="50"/>
  <c r="E608" i="51"/>
  <c r="F608" i="51"/>
  <c r="C319" i="53"/>
  <c r="P549" i="52"/>
  <c r="O549" i="52"/>
  <c r="M609" i="51"/>
  <c r="N609" i="51" s="1"/>
  <c r="H609" i="51"/>
  <c r="I609" i="51" s="1"/>
  <c r="C609" i="51"/>
  <c r="D609" i="51" s="1"/>
  <c r="F549" i="52"/>
  <c r="E549" i="52"/>
  <c r="A480" i="50"/>
  <c r="B479" i="50"/>
  <c r="J549" i="52"/>
  <c r="K549" i="52"/>
  <c r="P477" i="50"/>
  <c r="O477" i="50"/>
  <c r="O608" i="51"/>
  <c r="P608" i="51"/>
  <c r="B610" i="51"/>
  <c r="A611" i="51"/>
  <c r="D159" i="53"/>
  <c r="C159" i="53"/>
  <c r="E159" i="53" s="1"/>
  <c r="B160" i="53"/>
  <c r="E158" i="53"/>
  <c r="P609" i="51" l="1"/>
  <c r="O609" i="51"/>
  <c r="C551" i="52"/>
  <c r="D551" i="52" s="1"/>
  <c r="M551" i="52"/>
  <c r="N551" i="52" s="1"/>
  <c r="H551" i="52"/>
  <c r="I551" i="52" s="1"/>
  <c r="E550" i="52"/>
  <c r="F550" i="52"/>
  <c r="F478" i="50"/>
  <c r="E478" i="50"/>
  <c r="B611" i="51"/>
  <c r="A612" i="51"/>
  <c r="H479" i="50"/>
  <c r="I479" i="50" s="1"/>
  <c r="C479" i="50"/>
  <c r="D479" i="50" s="1"/>
  <c r="M479" i="50"/>
  <c r="N479" i="50" s="1"/>
  <c r="F609" i="51"/>
  <c r="E609" i="51"/>
  <c r="J478" i="50"/>
  <c r="K478" i="50"/>
  <c r="A553" i="52"/>
  <c r="B552" i="52"/>
  <c r="K550" i="52"/>
  <c r="J550" i="52"/>
  <c r="M610" i="51"/>
  <c r="N610" i="51" s="1"/>
  <c r="C610" i="51"/>
  <c r="D610" i="51" s="1"/>
  <c r="H610" i="51"/>
  <c r="I610" i="51" s="1"/>
  <c r="A481" i="50"/>
  <c r="B480" i="50"/>
  <c r="J609" i="51"/>
  <c r="K609" i="51"/>
  <c r="O478" i="50"/>
  <c r="P478" i="50"/>
  <c r="O550" i="52"/>
  <c r="P550" i="52"/>
  <c r="D160" i="53"/>
  <c r="B161" i="53"/>
  <c r="C160" i="53"/>
  <c r="C320" i="53"/>
  <c r="E610" i="51" l="1"/>
  <c r="F610" i="51"/>
  <c r="P551" i="52"/>
  <c r="O551" i="52"/>
  <c r="H480" i="50"/>
  <c r="I480" i="50" s="1"/>
  <c r="C480" i="50"/>
  <c r="D480" i="50" s="1"/>
  <c r="M480" i="50"/>
  <c r="N480" i="50" s="1"/>
  <c r="P610" i="51"/>
  <c r="O610" i="51"/>
  <c r="B553" i="52"/>
  <c r="A554" i="52"/>
  <c r="A613" i="51"/>
  <c r="B612" i="51"/>
  <c r="F551" i="52"/>
  <c r="E551" i="52"/>
  <c r="J479" i="50"/>
  <c r="K479" i="50"/>
  <c r="E160" i="53"/>
  <c r="B481" i="50"/>
  <c r="A482" i="50"/>
  <c r="P479" i="50"/>
  <c r="O479" i="50"/>
  <c r="M611" i="51"/>
  <c r="N611" i="51" s="1"/>
  <c r="H611" i="51"/>
  <c r="I611" i="51" s="1"/>
  <c r="C611" i="51"/>
  <c r="D611" i="51" s="1"/>
  <c r="C552" i="52"/>
  <c r="D552" i="52" s="1"/>
  <c r="H552" i="52"/>
  <c r="I552" i="52" s="1"/>
  <c r="M552" i="52"/>
  <c r="N552" i="52" s="1"/>
  <c r="K610" i="51"/>
  <c r="J610" i="51"/>
  <c r="F479" i="50"/>
  <c r="E479" i="50"/>
  <c r="K551" i="52"/>
  <c r="J551" i="52"/>
  <c r="C161" i="53"/>
  <c r="B162" i="53"/>
  <c r="D161" i="53"/>
  <c r="C321" i="53"/>
  <c r="J552" i="52" l="1"/>
  <c r="K552" i="52"/>
  <c r="O611" i="51"/>
  <c r="P611" i="51"/>
  <c r="C481" i="50"/>
  <c r="D481" i="50" s="1"/>
  <c r="M481" i="50"/>
  <c r="N481" i="50" s="1"/>
  <c r="H481" i="50"/>
  <c r="I481" i="50" s="1"/>
  <c r="B554" i="52"/>
  <c r="A555" i="52"/>
  <c r="O480" i="50"/>
  <c r="P480" i="50"/>
  <c r="O552" i="52"/>
  <c r="P552" i="52"/>
  <c r="B482" i="50"/>
  <c r="A483" i="50"/>
  <c r="B613" i="51"/>
  <c r="A614" i="51"/>
  <c r="F552" i="52"/>
  <c r="E552" i="52"/>
  <c r="M553" i="52"/>
  <c r="N553" i="52" s="1"/>
  <c r="C553" i="52"/>
  <c r="D553" i="52" s="1"/>
  <c r="H553" i="52"/>
  <c r="I553" i="52" s="1"/>
  <c r="E480" i="50"/>
  <c r="F480" i="50"/>
  <c r="K611" i="51"/>
  <c r="J611" i="51"/>
  <c r="C322" i="53"/>
  <c r="F611" i="51"/>
  <c r="E611" i="51"/>
  <c r="C612" i="51"/>
  <c r="D612" i="51" s="1"/>
  <c r="M612" i="51"/>
  <c r="N612" i="51" s="1"/>
  <c r="H612" i="51"/>
  <c r="I612" i="51" s="1"/>
  <c r="J480" i="50"/>
  <c r="K480" i="50"/>
  <c r="D162" i="53"/>
  <c r="C162" i="53"/>
  <c r="E162" i="53" s="1"/>
  <c r="B163" i="53"/>
  <c r="E161" i="53"/>
  <c r="J612" i="51" l="1"/>
  <c r="K612" i="51"/>
  <c r="O612" i="51"/>
  <c r="P612" i="51"/>
  <c r="B483" i="50"/>
  <c r="A484" i="50"/>
  <c r="J481" i="50"/>
  <c r="K481" i="50"/>
  <c r="P553" i="52"/>
  <c r="O553" i="52"/>
  <c r="F612" i="51"/>
  <c r="E612" i="51"/>
  <c r="J553" i="52"/>
  <c r="K553" i="52"/>
  <c r="C482" i="50"/>
  <c r="D482" i="50" s="1"/>
  <c r="M482" i="50"/>
  <c r="N482" i="50" s="1"/>
  <c r="H482" i="50"/>
  <c r="I482" i="50" s="1"/>
  <c r="O481" i="50"/>
  <c r="P481" i="50"/>
  <c r="H613" i="51"/>
  <c r="I613" i="51" s="1"/>
  <c r="C613" i="51"/>
  <c r="D613" i="51" s="1"/>
  <c r="M613" i="51"/>
  <c r="N613" i="51" s="1"/>
  <c r="C554" i="52"/>
  <c r="D554" i="52" s="1"/>
  <c r="H554" i="52"/>
  <c r="I554" i="52" s="1"/>
  <c r="M554" i="52"/>
  <c r="N554" i="52" s="1"/>
  <c r="F553" i="52"/>
  <c r="E553" i="52"/>
  <c r="A615" i="51"/>
  <c r="B614" i="51"/>
  <c r="A556" i="52"/>
  <c r="B555" i="52"/>
  <c r="F481" i="50"/>
  <c r="E481" i="50"/>
  <c r="C163" i="53"/>
  <c r="B164" i="53"/>
  <c r="D163" i="53"/>
  <c r="C324" i="53" s="1"/>
  <c r="C323" i="53"/>
  <c r="J554" i="52" l="1"/>
  <c r="K554" i="52"/>
  <c r="F554" i="52"/>
  <c r="E554" i="52"/>
  <c r="E482" i="50"/>
  <c r="F482" i="50"/>
  <c r="A616" i="51"/>
  <c r="B615" i="51"/>
  <c r="O482" i="50"/>
  <c r="P482" i="50"/>
  <c r="C555" i="52"/>
  <c r="D555" i="52" s="1"/>
  <c r="M555" i="52"/>
  <c r="N555" i="52" s="1"/>
  <c r="H555" i="52"/>
  <c r="I555" i="52" s="1"/>
  <c r="A557" i="52"/>
  <c r="B556" i="52"/>
  <c r="P613" i="51"/>
  <c r="O613" i="51"/>
  <c r="A485" i="50"/>
  <c r="B484" i="50"/>
  <c r="K613" i="51"/>
  <c r="J613" i="51"/>
  <c r="M614" i="51"/>
  <c r="N614" i="51" s="1"/>
  <c r="H614" i="51"/>
  <c r="I614" i="51" s="1"/>
  <c r="C614" i="51"/>
  <c r="D614" i="51" s="1"/>
  <c r="P554" i="52"/>
  <c r="O554" i="52"/>
  <c r="E613" i="51"/>
  <c r="F613" i="51"/>
  <c r="K482" i="50"/>
  <c r="J482" i="50"/>
  <c r="M483" i="50"/>
  <c r="N483" i="50" s="1"/>
  <c r="H483" i="50"/>
  <c r="I483" i="50" s="1"/>
  <c r="C483" i="50"/>
  <c r="D483" i="50" s="1"/>
  <c r="C164" i="53"/>
  <c r="D164" i="53"/>
  <c r="C325" i="53" s="1"/>
  <c r="B165" i="53"/>
  <c r="E163" i="53"/>
  <c r="P555" i="52" l="1"/>
  <c r="O555" i="52"/>
  <c r="P483" i="50"/>
  <c r="O483" i="50"/>
  <c r="K614" i="51"/>
  <c r="J614" i="51"/>
  <c r="H484" i="50"/>
  <c r="I484" i="50" s="1"/>
  <c r="C484" i="50"/>
  <c r="D484" i="50" s="1"/>
  <c r="M484" i="50"/>
  <c r="N484" i="50" s="1"/>
  <c r="H556" i="52"/>
  <c r="I556" i="52" s="1"/>
  <c r="C556" i="52"/>
  <c r="D556" i="52" s="1"/>
  <c r="M556" i="52"/>
  <c r="N556" i="52" s="1"/>
  <c r="F555" i="52"/>
  <c r="E555" i="52"/>
  <c r="A617" i="51"/>
  <c r="B616" i="51"/>
  <c r="F614" i="51"/>
  <c r="E614" i="51"/>
  <c r="C615" i="51"/>
  <c r="D615" i="51" s="1"/>
  <c r="M615" i="51"/>
  <c r="N615" i="51" s="1"/>
  <c r="H615" i="51"/>
  <c r="I615" i="51" s="1"/>
  <c r="P614" i="51"/>
  <c r="O614" i="51"/>
  <c r="A486" i="50"/>
  <c r="B485" i="50"/>
  <c r="B557" i="52"/>
  <c r="A558" i="52"/>
  <c r="J483" i="50"/>
  <c r="K483" i="50"/>
  <c r="E483" i="50"/>
  <c r="F483" i="50"/>
  <c r="K555" i="52"/>
  <c r="J555" i="52"/>
  <c r="C165" i="53"/>
  <c r="B166" i="53"/>
  <c r="D165" i="53"/>
  <c r="E164" i="53"/>
  <c r="O615" i="51" l="1"/>
  <c r="P615" i="51"/>
  <c r="H616" i="51"/>
  <c r="I616" i="51" s="1"/>
  <c r="M616" i="51"/>
  <c r="N616" i="51" s="1"/>
  <c r="C616" i="51"/>
  <c r="D616" i="51" s="1"/>
  <c r="B558" i="52"/>
  <c r="A559" i="52"/>
  <c r="E615" i="51"/>
  <c r="F615" i="51"/>
  <c r="A618" i="51"/>
  <c r="B617" i="51"/>
  <c r="E556" i="52"/>
  <c r="F556" i="52"/>
  <c r="K484" i="50"/>
  <c r="J484" i="50"/>
  <c r="F484" i="50"/>
  <c r="E484" i="50"/>
  <c r="C326" i="53"/>
  <c r="C557" i="52"/>
  <c r="D557" i="52" s="1"/>
  <c r="H557" i="52"/>
  <c r="I557" i="52" s="1"/>
  <c r="M557" i="52"/>
  <c r="N557" i="52" s="1"/>
  <c r="K556" i="52"/>
  <c r="J556" i="52"/>
  <c r="B486" i="50"/>
  <c r="A487" i="50"/>
  <c r="O556" i="52"/>
  <c r="P556" i="52"/>
  <c r="M485" i="50"/>
  <c r="N485" i="50" s="1"/>
  <c r="H485" i="50"/>
  <c r="I485" i="50" s="1"/>
  <c r="C485" i="50"/>
  <c r="D485" i="50" s="1"/>
  <c r="K615" i="51"/>
  <c r="J615" i="51"/>
  <c r="P484" i="50"/>
  <c r="O484" i="50"/>
  <c r="C166" i="53"/>
  <c r="E166" i="53" s="1"/>
  <c r="B167" i="53"/>
  <c r="D166" i="53"/>
  <c r="E165" i="53"/>
  <c r="O485" i="50" l="1"/>
  <c r="P485" i="50"/>
  <c r="O616" i="51"/>
  <c r="P616" i="51"/>
  <c r="E557" i="52"/>
  <c r="F557" i="52"/>
  <c r="M617" i="51"/>
  <c r="N617" i="51" s="1"/>
  <c r="H617" i="51"/>
  <c r="I617" i="51" s="1"/>
  <c r="C617" i="51"/>
  <c r="D617" i="51" s="1"/>
  <c r="A560" i="52"/>
  <c r="B559" i="52"/>
  <c r="J616" i="51"/>
  <c r="K616" i="51"/>
  <c r="J557" i="52"/>
  <c r="K557" i="52"/>
  <c r="C327" i="53"/>
  <c r="E485" i="50"/>
  <c r="F485" i="50"/>
  <c r="A619" i="51"/>
  <c r="B618" i="51"/>
  <c r="H558" i="52"/>
  <c r="I558" i="52" s="1"/>
  <c r="M558" i="52"/>
  <c r="N558" i="52" s="1"/>
  <c r="C558" i="52"/>
  <c r="D558" i="52" s="1"/>
  <c r="H486" i="50"/>
  <c r="I486" i="50" s="1"/>
  <c r="C486" i="50"/>
  <c r="D486" i="50" s="1"/>
  <c r="M486" i="50"/>
  <c r="N486" i="50" s="1"/>
  <c r="K485" i="50"/>
  <c r="J485" i="50"/>
  <c r="B487" i="50"/>
  <c r="A488" i="50"/>
  <c r="P557" i="52"/>
  <c r="O557" i="52"/>
  <c r="F616" i="51"/>
  <c r="E616" i="51"/>
  <c r="B168" i="53"/>
  <c r="D167" i="53"/>
  <c r="C328" i="53" s="1"/>
  <c r="C167" i="53"/>
  <c r="E558" i="52" l="1"/>
  <c r="F558" i="52"/>
  <c r="B619" i="51"/>
  <c r="A620" i="51"/>
  <c r="C559" i="52"/>
  <c r="D559" i="52" s="1"/>
  <c r="H559" i="52"/>
  <c r="I559" i="52" s="1"/>
  <c r="M559" i="52"/>
  <c r="N559" i="52" s="1"/>
  <c r="O617" i="51"/>
  <c r="P617" i="51"/>
  <c r="J617" i="51"/>
  <c r="K617" i="51"/>
  <c r="B488" i="50"/>
  <c r="A489" i="50"/>
  <c r="P486" i="50"/>
  <c r="O486" i="50"/>
  <c r="O558" i="52"/>
  <c r="P558" i="52"/>
  <c r="B560" i="52"/>
  <c r="A561" i="52"/>
  <c r="K486" i="50"/>
  <c r="J486" i="50"/>
  <c r="C618" i="51"/>
  <c r="D618" i="51" s="1"/>
  <c r="H618" i="51"/>
  <c r="I618" i="51" s="1"/>
  <c r="M618" i="51"/>
  <c r="N618" i="51" s="1"/>
  <c r="H487" i="50"/>
  <c r="I487" i="50" s="1"/>
  <c r="M487" i="50"/>
  <c r="N487" i="50" s="1"/>
  <c r="C487" i="50"/>
  <c r="D487" i="50" s="1"/>
  <c r="E486" i="50"/>
  <c r="F486" i="50"/>
  <c r="K558" i="52"/>
  <c r="J558" i="52"/>
  <c r="E617" i="51"/>
  <c r="F617" i="51"/>
  <c r="E167" i="53"/>
  <c r="D168" i="53"/>
  <c r="B169" i="53"/>
  <c r="C168" i="53"/>
  <c r="B620" i="51" l="1"/>
  <c r="A621" i="51"/>
  <c r="F487" i="50"/>
  <c r="E487" i="50"/>
  <c r="J618" i="51"/>
  <c r="K618" i="51"/>
  <c r="A562" i="52"/>
  <c r="B561" i="52"/>
  <c r="P559" i="52"/>
  <c r="O559" i="52"/>
  <c r="M619" i="51"/>
  <c r="N619" i="51" s="1"/>
  <c r="H619" i="51"/>
  <c r="I619" i="51" s="1"/>
  <c r="C619" i="51"/>
  <c r="D619" i="51" s="1"/>
  <c r="O618" i="51"/>
  <c r="P618" i="51"/>
  <c r="P487" i="50"/>
  <c r="O487" i="50"/>
  <c r="E618" i="51"/>
  <c r="F618" i="51"/>
  <c r="H560" i="52"/>
  <c r="I560" i="52" s="1"/>
  <c r="M560" i="52"/>
  <c r="N560" i="52" s="1"/>
  <c r="C560" i="52"/>
  <c r="D560" i="52" s="1"/>
  <c r="J559" i="52"/>
  <c r="K559" i="52"/>
  <c r="C488" i="50"/>
  <c r="D488" i="50" s="1"/>
  <c r="H488" i="50"/>
  <c r="I488" i="50" s="1"/>
  <c r="M488" i="50"/>
  <c r="N488" i="50" s="1"/>
  <c r="C329" i="53"/>
  <c r="K487" i="50"/>
  <c r="J487" i="50"/>
  <c r="A490" i="50"/>
  <c r="B489" i="50"/>
  <c r="F559" i="52"/>
  <c r="E559" i="52"/>
  <c r="E168" i="53"/>
  <c r="D169" i="53"/>
  <c r="C169" i="53"/>
  <c r="E169" i="53" s="1"/>
  <c r="B170" i="53"/>
  <c r="J619" i="51" l="1"/>
  <c r="K619" i="51"/>
  <c r="A491" i="50"/>
  <c r="B490" i="50"/>
  <c r="P488" i="50"/>
  <c r="O488" i="50"/>
  <c r="O619" i="51"/>
  <c r="P619" i="51"/>
  <c r="A563" i="52"/>
  <c r="B562" i="52"/>
  <c r="M489" i="50"/>
  <c r="N489" i="50" s="1"/>
  <c r="C489" i="50"/>
  <c r="D489" i="50" s="1"/>
  <c r="H489" i="50"/>
  <c r="I489" i="50" s="1"/>
  <c r="H561" i="52"/>
  <c r="I561" i="52" s="1"/>
  <c r="M561" i="52"/>
  <c r="N561" i="52" s="1"/>
  <c r="C561" i="52"/>
  <c r="D561" i="52" s="1"/>
  <c r="J488" i="50"/>
  <c r="K488" i="50"/>
  <c r="E560" i="52"/>
  <c r="F560" i="52"/>
  <c r="B621" i="51"/>
  <c r="A622" i="51"/>
  <c r="J560" i="52"/>
  <c r="K560" i="52"/>
  <c r="E488" i="50"/>
  <c r="F488" i="50"/>
  <c r="O560" i="52"/>
  <c r="P560" i="52"/>
  <c r="F619" i="51"/>
  <c r="E619" i="51"/>
  <c r="C620" i="51"/>
  <c r="D620" i="51" s="1"/>
  <c r="M620" i="51"/>
  <c r="N620" i="51" s="1"/>
  <c r="H620" i="51"/>
  <c r="I620" i="51" s="1"/>
  <c r="B171" i="53"/>
  <c r="D170" i="53"/>
  <c r="C170" i="53"/>
  <c r="C330" i="53"/>
  <c r="E620" i="51" l="1"/>
  <c r="F620" i="51"/>
  <c r="P561" i="52"/>
  <c r="O561" i="52"/>
  <c r="O489" i="50"/>
  <c r="P489" i="50"/>
  <c r="B491" i="50"/>
  <c r="A492" i="50"/>
  <c r="E561" i="52"/>
  <c r="F561" i="52"/>
  <c r="C490" i="50"/>
  <c r="D490" i="50" s="1"/>
  <c r="M490" i="50"/>
  <c r="N490" i="50" s="1"/>
  <c r="H490" i="50"/>
  <c r="I490" i="50" s="1"/>
  <c r="A623" i="51"/>
  <c r="B622" i="51"/>
  <c r="J561" i="52"/>
  <c r="K561" i="52"/>
  <c r="C562" i="52"/>
  <c r="D562" i="52" s="1"/>
  <c r="H562" i="52"/>
  <c r="I562" i="52" s="1"/>
  <c r="M562" i="52"/>
  <c r="N562" i="52" s="1"/>
  <c r="O620" i="51"/>
  <c r="P620" i="51"/>
  <c r="E489" i="50"/>
  <c r="F489" i="50"/>
  <c r="E170" i="53"/>
  <c r="K620" i="51"/>
  <c r="J620" i="51"/>
  <c r="C621" i="51"/>
  <c r="D621" i="51" s="1"/>
  <c r="M621" i="51"/>
  <c r="N621" i="51" s="1"/>
  <c r="H621" i="51"/>
  <c r="I621" i="51" s="1"/>
  <c r="J489" i="50"/>
  <c r="K489" i="50"/>
  <c r="A564" i="52"/>
  <c r="B563" i="52"/>
  <c r="C331" i="53"/>
  <c r="D171" i="53"/>
  <c r="B172" i="53"/>
  <c r="C171" i="53"/>
  <c r="O490" i="50" l="1"/>
  <c r="P490" i="50"/>
  <c r="K562" i="52"/>
  <c r="J562" i="52"/>
  <c r="C622" i="51"/>
  <c r="D622" i="51" s="1"/>
  <c r="M622" i="51"/>
  <c r="N622" i="51" s="1"/>
  <c r="H622" i="51"/>
  <c r="I622" i="51" s="1"/>
  <c r="F490" i="50"/>
  <c r="E490" i="50"/>
  <c r="M491" i="50"/>
  <c r="N491" i="50" s="1"/>
  <c r="H491" i="50"/>
  <c r="I491" i="50" s="1"/>
  <c r="C491" i="50"/>
  <c r="D491" i="50" s="1"/>
  <c r="O562" i="52"/>
  <c r="P562" i="52"/>
  <c r="H563" i="52"/>
  <c r="I563" i="52" s="1"/>
  <c r="C563" i="52"/>
  <c r="D563" i="52" s="1"/>
  <c r="M563" i="52"/>
  <c r="N563" i="52" s="1"/>
  <c r="J621" i="51"/>
  <c r="K621" i="51"/>
  <c r="E562" i="52"/>
  <c r="F562" i="52"/>
  <c r="B623" i="51"/>
  <c r="A624" i="51"/>
  <c r="F621" i="51"/>
  <c r="E621" i="51"/>
  <c r="B492" i="50"/>
  <c r="A493" i="50"/>
  <c r="C332" i="53"/>
  <c r="A565" i="52"/>
  <c r="B564" i="52"/>
  <c r="P621" i="51"/>
  <c r="O621" i="51"/>
  <c r="J490" i="50"/>
  <c r="K490" i="50"/>
  <c r="C172" i="53"/>
  <c r="B173" i="53"/>
  <c r="D172" i="53"/>
  <c r="E171" i="53"/>
  <c r="F491" i="50" l="1"/>
  <c r="E491" i="50"/>
  <c r="A494" i="50"/>
  <c r="B493" i="50"/>
  <c r="A625" i="51"/>
  <c r="B624" i="51"/>
  <c r="J563" i="52"/>
  <c r="K563" i="52"/>
  <c r="K491" i="50"/>
  <c r="J491" i="50"/>
  <c r="J622" i="51"/>
  <c r="K622" i="51"/>
  <c r="E172" i="53"/>
  <c r="M564" i="52"/>
  <c r="N564" i="52" s="1"/>
  <c r="C564" i="52"/>
  <c r="D564" i="52" s="1"/>
  <c r="H564" i="52"/>
  <c r="I564" i="52" s="1"/>
  <c r="M492" i="50"/>
  <c r="N492" i="50" s="1"/>
  <c r="C492" i="50"/>
  <c r="D492" i="50" s="1"/>
  <c r="H492" i="50"/>
  <c r="I492" i="50" s="1"/>
  <c r="C623" i="51"/>
  <c r="D623" i="51" s="1"/>
  <c r="M623" i="51"/>
  <c r="N623" i="51" s="1"/>
  <c r="H623" i="51"/>
  <c r="I623" i="51" s="1"/>
  <c r="O491" i="50"/>
  <c r="P491" i="50"/>
  <c r="P622" i="51"/>
  <c r="O622" i="51"/>
  <c r="E563" i="52"/>
  <c r="F563" i="52"/>
  <c r="A566" i="52"/>
  <c r="B565" i="52"/>
  <c r="P563" i="52"/>
  <c r="O563" i="52"/>
  <c r="E622" i="51"/>
  <c r="F622" i="51"/>
  <c r="C333" i="53"/>
  <c r="D173" i="53"/>
  <c r="C173" i="53"/>
  <c r="E173" i="53" s="1"/>
  <c r="B174" i="53"/>
  <c r="E623" i="51" l="1"/>
  <c r="F623" i="51"/>
  <c r="M493" i="50"/>
  <c r="N493" i="50" s="1"/>
  <c r="C493" i="50"/>
  <c r="D493" i="50" s="1"/>
  <c r="H493" i="50"/>
  <c r="I493" i="50" s="1"/>
  <c r="J492" i="50"/>
  <c r="K492" i="50"/>
  <c r="E564" i="52"/>
  <c r="F564" i="52"/>
  <c r="A495" i="50"/>
  <c r="B494" i="50"/>
  <c r="J564" i="52"/>
  <c r="K564" i="52"/>
  <c r="H565" i="52"/>
  <c r="I565" i="52" s="1"/>
  <c r="M565" i="52"/>
  <c r="N565" i="52" s="1"/>
  <c r="C565" i="52"/>
  <c r="D565" i="52" s="1"/>
  <c r="J623" i="51"/>
  <c r="K623" i="51"/>
  <c r="E492" i="50"/>
  <c r="F492" i="50"/>
  <c r="P564" i="52"/>
  <c r="O564" i="52"/>
  <c r="C624" i="51"/>
  <c r="D624" i="51" s="1"/>
  <c r="M624" i="51"/>
  <c r="N624" i="51" s="1"/>
  <c r="H624" i="51"/>
  <c r="I624" i="51" s="1"/>
  <c r="B566" i="52"/>
  <c r="A567" i="52"/>
  <c r="P623" i="51"/>
  <c r="O623" i="51"/>
  <c r="O492" i="50"/>
  <c r="P492" i="50"/>
  <c r="B625" i="51"/>
  <c r="A626" i="51"/>
  <c r="D174" i="53"/>
  <c r="C174" i="53"/>
  <c r="E174" i="53" s="1"/>
  <c r="B175" i="53"/>
  <c r="C334" i="53"/>
  <c r="C625" i="51" l="1"/>
  <c r="D625" i="51" s="1"/>
  <c r="M625" i="51"/>
  <c r="N625" i="51" s="1"/>
  <c r="H625" i="51"/>
  <c r="I625" i="51" s="1"/>
  <c r="E565" i="52"/>
  <c r="F565" i="52"/>
  <c r="B567" i="52"/>
  <c r="A568" i="52"/>
  <c r="E624" i="51"/>
  <c r="F624" i="51"/>
  <c r="O565" i="52"/>
  <c r="P565" i="52"/>
  <c r="C494" i="50"/>
  <c r="D494" i="50" s="1"/>
  <c r="H494" i="50"/>
  <c r="I494" i="50" s="1"/>
  <c r="M494" i="50"/>
  <c r="N494" i="50" s="1"/>
  <c r="O493" i="50"/>
  <c r="P493" i="50"/>
  <c r="C566" i="52"/>
  <c r="D566" i="52" s="1"/>
  <c r="M566" i="52"/>
  <c r="N566" i="52" s="1"/>
  <c r="H566" i="52"/>
  <c r="I566" i="52" s="1"/>
  <c r="K565" i="52"/>
  <c r="J565" i="52"/>
  <c r="B495" i="50"/>
  <c r="A496" i="50"/>
  <c r="P624" i="51"/>
  <c r="O624" i="51"/>
  <c r="E493" i="50"/>
  <c r="F493" i="50"/>
  <c r="B626" i="51"/>
  <c r="A627" i="51"/>
  <c r="K624" i="51"/>
  <c r="J624" i="51"/>
  <c r="J493" i="50"/>
  <c r="K493" i="50"/>
  <c r="C175" i="53"/>
  <c r="B176" i="53"/>
  <c r="D175" i="53"/>
  <c r="C336" i="53" s="1"/>
  <c r="C335" i="53"/>
  <c r="M626" i="51" l="1"/>
  <c r="N626" i="51" s="1"/>
  <c r="C626" i="51"/>
  <c r="D626" i="51" s="1"/>
  <c r="H626" i="51"/>
  <c r="I626" i="51" s="1"/>
  <c r="E494" i="50"/>
  <c r="F494" i="50"/>
  <c r="A497" i="50"/>
  <c r="B496" i="50"/>
  <c r="J566" i="52"/>
  <c r="K566" i="52"/>
  <c r="B568" i="52"/>
  <c r="A569" i="52"/>
  <c r="K625" i="51"/>
  <c r="J625" i="51"/>
  <c r="M495" i="50"/>
  <c r="N495" i="50" s="1"/>
  <c r="H495" i="50"/>
  <c r="I495" i="50" s="1"/>
  <c r="C495" i="50"/>
  <c r="D495" i="50" s="1"/>
  <c r="O566" i="52"/>
  <c r="P566" i="52"/>
  <c r="P494" i="50"/>
  <c r="O494" i="50"/>
  <c r="C567" i="52"/>
  <c r="D567" i="52" s="1"/>
  <c r="H567" i="52"/>
  <c r="I567" i="52" s="1"/>
  <c r="M567" i="52"/>
  <c r="N567" i="52" s="1"/>
  <c r="O625" i="51"/>
  <c r="P625" i="51"/>
  <c r="A628" i="51"/>
  <c r="B627" i="51"/>
  <c r="E566" i="52"/>
  <c r="F566" i="52"/>
  <c r="K494" i="50"/>
  <c r="J494" i="50"/>
  <c r="E625" i="51"/>
  <c r="F625" i="51"/>
  <c r="B177" i="53"/>
  <c r="C176" i="53"/>
  <c r="D176" i="53"/>
  <c r="C337" i="53" s="1"/>
  <c r="E175" i="53"/>
  <c r="M627" i="51" l="1"/>
  <c r="N627" i="51" s="1"/>
  <c r="H627" i="51"/>
  <c r="I627" i="51" s="1"/>
  <c r="C627" i="51"/>
  <c r="D627" i="51" s="1"/>
  <c r="O567" i="52"/>
  <c r="P567" i="52"/>
  <c r="J495" i="50"/>
  <c r="K495" i="50"/>
  <c r="A570" i="52"/>
  <c r="B569" i="52"/>
  <c r="C496" i="50"/>
  <c r="D496" i="50" s="1"/>
  <c r="M496" i="50"/>
  <c r="N496" i="50" s="1"/>
  <c r="H496" i="50"/>
  <c r="I496" i="50" s="1"/>
  <c r="J626" i="51"/>
  <c r="K626" i="51"/>
  <c r="A629" i="51"/>
  <c r="B628" i="51"/>
  <c r="K567" i="52"/>
  <c r="J567" i="52"/>
  <c r="O495" i="50"/>
  <c r="P495" i="50"/>
  <c r="H568" i="52"/>
  <c r="I568" i="52" s="1"/>
  <c r="C568" i="52"/>
  <c r="D568" i="52" s="1"/>
  <c r="M568" i="52"/>
  <c r="N568" i="52" s="1"/>
  <c r="A498" i="50"/>
  <c r="B497" i="50"/>
  <c r="F626" i="51"/>
  <c r="E626" i="51"/>
  <c r="E495" i="50"/>
  <c r="F495" i="50"/>
  <c r="F567" i="52"/>
  <c r="E567" i="52"/>
  <c r="O626" i="51"/>
  <c r="P626" i="51"/>
  <c r="E176" i="53"/>
  <c r="B178" i="53"/>
  <c r="C177" i="53"/>
  <c r="D177" i="53"/>
  <c r="P568" i="52" l="1"/>
  <c r="O568" i="52"/>
  <c r="A630" i="51"/>
  <c r="B629" i="51"/>
  <c r="P496" i="50"/>
  <c r="O496" i="50"/>
  <c r="E627" i="51"/>
  <c r="F627" i="51"/>
  <c r="K496" i="50"/>
  <c r="J496" i="50"/>
  <c r="E568" i="52"/>
  <c r="F568" i="52"/>
  <c r="F496" i="50"/>
  <c r="E496" i="50"/>
  <c r="K627" i="51"/>
  <c r="J627" i="51"/>
  <c r="A499" i="50"/>
  <c r="B498" i="50"/>
  <c r="H628" i="51"/>
  <c r="I628" i="51" s="1"/>
  <c r="C628" i="51"/>
  <c r="D628" i="51" s="1"/>
  <c r="M628" i="51"/>
  <c r="N628" i="51" s="1"/>
  <c r="A571" i="52"/>
  <c r="B570" i="52"/>
  <c r="C338" i="53"/>
  <c r="C497" i="50"/>
  <c r="D497" i="50" s="1"/>
  <c r="H497" i="50"/>
  <c r="I497" i="50" s="1"/>
  <c r="M497" i="50"/>
  <c r="N497" i="50" s="1"/>
  <c r="J568" i="52"/>
  <c r="K568" i="52"/>
  <c r="C569" i="52"/>
  <c r="D569" i="52" s="1"/>
  <c r="H569" i="52"/>
  <c r="I569" i="52" s="1"/>
  <c r="M569" i="52"/>
  <c r="N569" i="52" s="1"/>
  <c r="P627" i="51"/>
  <c r="O627" i="51"/>
  <c r="C178" i="53"/>
  <c r="D178" i="53"/>
  <c r="C339" i="53" s="1"/>
  <c r="B179" i="53"/>
  <c r="E177" i="53"/>
  <c r="J569" i="52" l="1"/>
  <c r="K569" i="52"/>
  <c r="O497" i="50"/>
  <c r="P497" i="50"/>
  <c r="H570" i="52"/>
  <c r="I570" i="52" s="1"/>
  <c r="M570" i="52"/>
  <c r="N570" i="52" s="1"/>
  <c r="C570" i="52"/>
  <c r="D570" i="52" s="1"/>
  <c r="J628" i="51"/>
  <c r="K628" i="51"/>
  <c r="A631" i="51"/>
  <c r="B630" i="51"/>
  <c r="F628" i="51"/>
  <c r="E628" i="51"/>
  <c r="E569" i="52"/>
  <c r="F569" i="52"/>
  <c r="J497" i="50"/>
  <c r="K497" i="50"/>
  <c r="B571" i="52"/>
  <c r="A572" i="52"/>
  <c r="C498" i="50"/>
  <c r="D498" i="50" s="1"/>
  <c r="M498" i="50"/>
  <c r="N498" i="50" s="1"/>
  <c r="H498" i="50"/>
  <c r="I498" i="50" s="1"/>
  <c r="P569" i="52"/>
  <c r="O569" i="52"/>
  <c r="H629" i="51"/>
  <c r="I629" i="51" s="1"/>
  <c r="C629" i="51"/>
  <c r="D629" i="51" s="1"/>
  <c r="M629" i="51"/>
  <c r="N629" i="51" s="1"/>
  <c r="E497" i="50"/>
  <c r="F497" i="50"/>
  <c r="P628" i="51"/>
  <c r="O628" i="51"/>
  <c r="B499" i="50"/>
  <c r="A500" i="50"/>
  <c r="C179" i="53"/>
  <c r="D179" i="53"/>
  <c r="B180" i="53"/>
  <c r="E178" i="53"/>
  <c r="C499" i="50" l="1"/>
  <c r="D499" i="50" s="1"/>
  <c r="M499" i="50"/>
  <c r="N499" i="50" s="1"/>
  <c r="H499" i="50"/>
  <c r="I499" i="50" s="1"/>
  <c r="E179" i="53"/>
  <c r="O629" i="51"/>
  <c r="P629" i="51"/>
  <c r="A573" i="52"/>
  <c r="B572" i="52"/>
  <c r="M630" i="51"/>
  <c r="N630" i="51" s="1"/>
  <c r="C630" i="51"/>
  <c r="D630" i="51" s="1"/>
  <c r="H630" i="51"/>
  <c r="I630" i="51" s="1"/>
  <c r="F570" i="52"/>
  <c r="E570" i="52"/>
  <c r="E629" i="51"/>
  <c r="F629" i="51"/>
  <c r="J498" i="50"/>
  <c r="K498" i="50"/>
  <c r="C571" i="52"/>
  <c r="D571" i="52" s="1"/>
  <c r="M571" i="52"/>
  <c r="N571" i="52" s="1"/>
  <c r="H571" i="52"/>
  <c r="I571" i="52" s="1"/>
  <c r="B631" i="51"/>
  <c r="A632" i="51"/>
  <c r="O570" i="52"/>
  <c r="P570" i="52"/>
  <c r="E498" i="50"/>
  <c r="F498" i="50"/>
  <c r="A501" i="50"/>
  <c r="B500" i="50"/>
  <c r="J629" i="51"/>
  <c r="K629" i="51"/>
  <c r="O498" i="50"/>
  <c r="P498" i="50"/>
  <c r="K570" i="52"/>
  <c r="J570" i="52"/>
  <c r="B181" i="53"/>
  <c r="C180" i="53"/>
  <c r="D180" i="53"/>
  <c r="C341" i="53" s="1"/>
  <c r="C340" i="53"/>
  <c r="B501" i="50" l="1"/>
  <c r="A502" i="50"/>
  <c r="P571" i="52"/>
  <c r="O571" i="52"/>
  <c r="K630" i="51"/>
  <c r="J630" i="51"/>
  <c r="A574" i="52"/>
  <c r="B573" i="52"/>
  <c r="J499" i="50"/>
  <c r="K499" i="50"/>
  <c r="C500" i="50"/>
  <c r="D500" i="50" s="1"/>
  <c r="H500" i="50"/>
  <c r="I500" i="50" s="1"/>
  <c r="M500" i="50"/>
  <c r="N500" i="50" s="1"/>
  <c r="H572" i="52"/>
  <c r="I572" i="52" s="1"/>
  <c r="M572" i="52"/>
  <c r="N572" i="52" s="1"/>
  <c r="C572" i="52"/>
  <c r="D572" i="52" s="1"/>
  <c r="B632" i="51"/>
  <c r="A633" i="51"/>
  <c r="F571" i="52"/>
  <c r="E571" i="52"/>
  <c r="F630" i="51"/>
  <c r="E630" i="51"/>
  <c r="P499" i="50"/>
  <c r="O499" i="50"/>
  <c r="K571" i="52"/>
  <c r="J571" i="52"/>
  <c r="M631" i="51"/>
  <c r="N631" i="51" s="1"/>
  <c r="H631" i="51"/>
  <c r="I631" i="51" s="1"/>
  <c r="C631" i="51"/>
  <c r="D631" i="51" s="1"/>
  <c r="O630" i="51"/>
  <c r="P630" i="51"/>
  <c r="F499" i="50"/>
  <c r="E499" i="50"/>
  <c r="E180" i="53"/>
  <c r="C181" i="53"/>
  <c r="B182" i="53"/>
  <c r="D181" i="53"/>
  <c r="C342" i="53" s="1"/>
  <c r="F572" i="52" l="1"/>
  <c r="E572" i="52"/>
  <c r="H573" i="52"/>
  <c r="I573" i="52" s="1"/>
  <c r="C573" i="52"/>
  <c r="D573" i="52" s="1"/>
  <c r="M573" i="52"/>
  <c r="N573" i="52" s="1"/>
  <c r="O631" i="51"/>
  <c r="P631" i="51"/>
  <c r="P572" i="52"/>
  <c r="O572" i="52"/>
  <c r="F500" i="50"/>
  <c r="E500" i="50"/>
  <c r="B574" i="52"/>
  <c r="A575" i="52"/>
  <c r="K631" i="51"/>
  <c r="J631" i="51"/>
  <c r="B633" i="51"/>
  <c r="A634" i="51"/>
  <c r="J572" i="52"/>
  <c r="K572" i="52"/>
  <c r="B502" i="50"/>
  <c r="A503" i="50"/>
  <c r="K500" i="50"/>
  <c r="J500" i="50"/>
  <c r="E631" i="51"/>
  <c r="F631" i="51"/>
  <c r="H632" i="51"/>
  <c r="I632" i="51" s="1"/>
  <c r="M632" i="51"/>
  <c r="N632" i="51" s="1"/>
  <c r="C632" i="51"/>
  <c r="D632" i="51" s="1"/>
  <c r="O500" i="50"/>
  <c r="P500" i="50"/>
  <c r="C501" i="50"/>
  <c r="D501" i="50" s="1"/>
  <c r="M501" i="50"/>
  <c r="N501" i="50" s="1"/>
  <c r="H501" i="50"/>
  <c r="I501" i="50" s="1"/>
  <c r="C182" i="53"/>
  <c r="D182" i="53"/>
  <c r="C343" i="53" s="1"/>
  <c r="E181" i="53"/>
  <c r="F632" i="51" l="1"/>
  <c r="E632" i="51"/>
  <c r="H633" i="51"/>
  <c r="I633" i="51" s="1"/>
  <c r="C633" i="51"/>
  <c r="D633" i="51" s="1"/>
  <c r="M633" i="51"/>
  <c r="N633" i="51" s="1"/>
  <c r="E501" i="50"/>
  <c r="F501" i="50"/>
  <c r="O632" i="51"/>
  <c r="P632" i="51"/>
  <c r="K573" i="52"/>
  <c r="J573" i="52"/>
  <c r="O501" i="50"/>
  <c r="P501" i="50"/>
  <c r="C502" i="50"/>
  <c r="D502" i="50" s="1"/>
  <c r="H502" i="50"/>
  <c r="I502" i="50" s="1"/>
  <c r="M502" i="50"/>
  <c r="N502" i="50" s="1"/>
  <c r="E573" i="52"/>
  <c r="F573" i="52"/>
  <c r="J632" i="51"/>
  <c r="K632" i="51"/>
  <c r="M574" i="52"/>
  <c r="N574" i="52" s="1"/>
  <c r="C574" i="52"/>
  <c r="D574" i="52" s="1"/>
  <c r="H574" i="52"/>
  <c r="I574" i="52" s="1"/>
  <c r="K501" i="50"/>
  <c r="J501" i="50"/>
  <c r="A504" i="50"/>
  <c r="B503" i="50"/>
  <c r="B634" i="51"/>
  <c r="A635" i="51"/>
  <c r="A576" i="52"/>
  <c r="B575" i="52"/>
  <c r="O573" i="52"/>
  <c r="P573" i="52"/>
  <c r="E182" i="53"/>
  <c r="C634" i="51" l="1"/>
  <c r="D634" i="51" s="1"/>
  <c r="H634" i="51"/>
  <c r="I634" i="51" s="1"/>
  <c r="M634" i="51"/>
  <c r="N634" i="51" s="1"/>
  <c r="F633" i="51"/>
  <c r="E633" i="51"/>
  <c r="H575" i="52"/>
  <c r="I575" i="52" s="1"/>
  <c r="C575" i="52"/>
  <c r="D575" i="52" s="1"/>
  <c r="M575" i="52"/>
  <c r="N575" i="52" s="1"/>
  <c r="M503" i="50"/>
  <c r="N503" i="50" s="1"/>
  <c r="C503" i="50"/>
  <c r="D503" i="50" s="1"/>
  <c r="H503" i="50"/>
  <c r="I503" i="50" s="1"/>
  <c r="J574" i="52"/>
  <c r="K574" i="52"/>
  <c r="J502" i="50"/>
  <c r="K502" i="50"/>
  <c r="J633" i="51"/>
  <c r="K633" i="51"/>
  <c r="A577" i="52"/>
  <c r="B576" i="52"/>
  <c r="A505" i="50"/>
  <c r="B504" i="50"/>
  <c r="F574" i="52"/>
  <c r="E574" i="52"/>
  <c r="F502" i="50"/>
  <c r="E502" i="50"/>
  <c r="P502" i="50"/>
  <c r="O502" i="50"/>
  <c r="B635" i="51"/>
  <c r="A636" i="51"/>
  <c r="P574" i="52"/>
  <c r="O574" i="52"/>
  <c r="P633" i="51"/>
  <c r="O633" i="51"/>
  <c r="H635" i="51" l="1"/>
  <c r="I635" i="51" s="1"/>
  <c r="C635" i="51"/>
  <c r="D635" i="51" s="1"/>
  <c r="M635" i="51"/>
  <c r="N635" i="51" s="1"/>
  <c r="A506" i="50"/>
  <c r="B505" i="50"/>
  <c r="C576" i="52"/>
  <c r="D576" i="52" s="1"/>
  <c r="H576" i="52"/>
  <c r="I576" i="52" s="1"/>
  <c r="M576" i="52"/>
  <c r="N576" i="52" s="1"/>
  <c r="J503" i="50"/>
  <c r="K503" i="50"/>
  <c r="E575" i="52"/>
  <c r="F575" i="52"/>
  <c r="P634" i="51"/>
  <c r="O634" i="51"/>
  <c r="A578" i="52"/>
  <c r="B577" i="52"/>
  <c r="E503" i="50"/>
  <c r="F503" i="50"/>
  <c r="K575" i="52"/>
  <c r="J575" i="52"/>
  <c r="J634" i="51"/>
  <c r="K634" i="51"/>
  <c r="O575" i="52"/>
  <c r="P575" i="52"/>
  <c r="B636" i="51"/>
  <c r="A637" i="51"/>
  <c r="M504" i="50"/>
  <c r="N504" i="50" s="1"/>
  <c r="C504" i="50"/>
  <c r="D504" i="50" s="1"/>
  <c r="H504" i="50"/>
  <c r="I504" i="50" s="1"/>
  <c r="O503" i="50"/>
  <c r="P503" i="50"/>
  <c r="F634" i="51"/>
  <c r="E634" i="51"/>
  <c r="E504" i="50" l="1"/>
  <c r="F504" i="50"/>
  <c r="P504" i="50"/>
  <c r="O504" i="50"/>
  <c r="B578" i="52"/>
  <c r="A579" i="52"/>
  <c r="K576" i="52"/>
  <c r="J576" i="52"/>
  <c r="O635" i="51"/>
  <c r="P635" i="51"/>
  <c r="O576" i="52"/>
  <c r="P576" i="52"/>
  <c r="A638" i="51"/>
  <c r="B637" i="51"/>
  <c r="E576" i="52"/>
  <c r="F576" i="52"/>
  <c r="F635" i="51"/>
  <c r="E635" i="51"/>
  <c r="M577" i="52"/>
  <c r="N577" i="52" s="1"/>
  <c r="H577" i="52"/>
  <c r="I577" i="52" s="1"/>
  <c r="C577" i="52"/>
  <c r="D577" i="52" s="1"/>
  <c r="A507" i="50"/>
  <c r="B506" i="50"/>
  <c r="K504" i="50"/>
  <c r="J504" i="50"/>
  <c r="M636" i="51"/>
  <c r="N636" i="51" s="1"/>
  <c r="C636" i="51"/>
  <c r="D636" i="51" s="1"/>
  <c r="H636" i="51"/>
  <c r="I636" i="51" s="1"/>
  <c r="M505" i="50"/>
  <c r="N505" i="50" s="1"/>
  <c r="H505" i="50"/>
  <c r="I505" i="50" s="1"/>
  <c r="C505" i="50"/>
  <c r="D505" i="50" s="1"/>
  <c r="K635" i="51"/>
  <c r="J635" i="51"/>
  <c r="F505" i="50" l="1"/>
  <c r="E505" i="50"/>
  <c r="E636" i="51"/>
  <c r="F636" i="51"/>
  <c r="M506" i="50"/>
  <c r="N506" i="50" s="1"/>
  <c r="C506" i="50"/>
  <c r="D506" i="50" s="1"/>
  <c r="H506" i="50"/>
  <c r="I506" i="50" s="1"/>
  <c r="P577" i="52"/>
  <c r="O577" i="52"/>
  <c r="K636" i="51"/>
  <c r="J636" i="51"/>
  <c r="J505" i="50"/>
  <c r="K505" i="50"/>
  <c r="O636" i="51"/>
  <c r="P636" i="51"/>
  <c r="B507" i="50"/>
  <c r="A508" i="50"/>
  <c r="H637" i="51"/>
  <c r="I637" i="51" s="1"/>
  <c r="C637" i="51"/>
  <c r="D637" i="51" s="1"/>
  <c r="M637" i="51"/>
  <c r="N637" i="51" s="1"/>
  <c r="A580" i="52"/>
  <c r="B579" i="52"/>
  <c r="K577" i="52"/>
  <c r="J577" i="52"/>
  <c r="O505" i="50"/>
  <c r="P505" i="50"/>
  <c r="F577" i="52"/>
  <c r="E577" i="52"/>
  <c r="B638" i="51"/>
  <c r="A639" i="51"/>
  <c r="H578" i="52"/>
  <c r="I578" i="52" s="1"/>
  <c r="M578" i="52"/>
  <c r="N578" i="52" s="1"/>
  <c r="C578" i="52"/>
  <c r="D578" i="52" s="1"/>
  <c r="P578" i="52" l="1"/>
  <c r="O578" i="52"/>
  <c r="J578" i="52"/>
  <c r="K578" i="52"/>
  <c r="E637" i="51"/>
  <c r="F637" i="51"/>
  <c r="K506" i="50"/>
  <c r="J506" i="50"/>
  <c r="M507" i="50"/>
  <c r="N507" i="50" s="1"/>
  <c r="H507" i="50"/>
  <c r="I507" i="50" s="1"/>
  <c r="C507" i="50"/>
  <c r="D507" i="50" s="1"/>
  <c r="B639" i="51"/>
  <c r="A640" i="51"/>
  <c r="H579" i="52"/>
  <c r="I579" i="52" s="1"/>
  <c r="M579" i="52"/>
  <c r="N579" i="52" s="1"/>
  <c r="C579" i="52"/>
  <c r="D579" i="52" s="1"/>
  <c r="K637" i="51"/>
  <c r="J637" i="51"/>
  <c r="F506" i="50"/>
  <c r="E506" i="50"/>
  <c r="P637" i="51"/>
  <c r="O637" i="51"/>
  <c r="E578" i="52"/>
  <c r="F578" i="52"/>
  <c r="M638" i="51"/>
  <c r="N638" i="51" s="1"/>
  <c r="H638" i="51"/>
  <c r="I638" i="51" s="1"/>
  <c r="C638" i="51"/>
  <c r="D638" i="51" s="1"/>
  <c r="A581" i="52"/>
  <c r="B580" i="52"/>
  <c r="A509" i="50"/>
  <c r="B508" i="50"/>
  <c r="O506" i="50"/>
  <c r="P506" i="50"/>
  <c r="H508" i="50" l="1"/>
  <c r="I508" i="50" s="1"/>
  <c r="C508" i="50"/>
  <c r="D508" i="50" s="1"/>
  <c r="M508" i="50"/>
  <c r="N508" i="50" s="1"/>
  <c r="E638" i="51"/>
  <c r="F638" i="51"/>
  <c r="O579" i="52"/>
  <c r="P579" i="52"/>
  <c r="F507" i="50"/>
  <c r="E507" i="50"/>
  <c r="B581" i="52"/>
  <c r="A582" i="52"/>
  <c r="M639" i="51"/>
  <c r="N639" i="51" s="1"/>
  <c r="H639" i="51"/>
  <c r="I639" i="51" s="1"/>
  <c r="C639" i="51"/>
  <c r="D639" i="51" s="1"/>
  <c r="B509" i="50"/>
  <c r="A510" i="50"/>
  <c r="J638" i="51"/>
  <c r="K638" i="51"/>
  <c r="J579" i="52"/>
  <c r="K579" i="52"/>
  <c r="J507" i="50"/>
  <c r="K507" i="50"/>
  <c r="E579" i="52"/>
  <c r="F579" i="52"/>
  <c r="H580" i="52"/>
  <c r="I580" i="52" s="1"/>
  <c r="M580" i="52"/>
  <c r="N580" i="52" s="1"/>
  <c r="C580" i="52"/>
  <c r="D580" i="52" s="1"/>
  <c r="O638" i="51"/>
  <c r="P638" i="51"/>
  <c r="A641" i="51"/>
  <c r="B640" i="51"/>
  <c r="P507" i="50"/>
  <c r="O507" i="50"/>
  <c r="A511" i="50" l="1"/>
  <c r="B510" i="50"/>
  <c r="C640" i="51"/>
  <c r="D640" i="51" s="1"/>
  <c r="M640" i="51"/>
  <c r="N640" i="51" s="1"/>
  <c r="H640" i="51"/>
  <c r="I640" i="51" s="1"/>
  <c r="E580" i="52"/>
  <c r="F580" i="52"/>
  <c r="H509" i="50"/>
  <c r="I509" i="50" s="1"/>
  <c r="C509" i="50"/>
  <c r="D509" i="50" s="1"/>
  <c r="M509" i="50"/>
  <c r="N509" i="50" s="1"/>
  <c r="A583" i="52"/>
  <c r="B582" i="52"/>
  <c r="O508" i="50"/>
  <c r="P508" i="50"/>
  <c r="P639" i="51"/>
  <c r="O639" i="51"/>
  <c r="A642" i="51"/>
  <c r="B641" i="51"/>
  <c r="P580" i="52"/>
  <c r="O580" i="52"/>
  <c r="E639" i="51"/>
  <c r="F639" i="51"/>
  <c r="M581" i="52"/>
  <c r="N581" i="52" s="1"/>
  <c r="C581" i="52"/>
  <c r="D581" i="52" s="1"/>
  <c r="H581" i="52"/>
  <c r="I581" i="52" s="1"/>
  <c r="E508" i="50"/>
  <c r="F508" i="50"/>
  <c r="J580" i="52"/>
  <c r="K580" i="52"/>
  <c r="K639" i="51"/>
  <c r="J639" i="51"/>
  <c r="J508" i="50"/>
  <c r="K508" i="50"/>
  <c r="O640" i="51" l="1"/>
  <c r="P640" i="51"/>
  <c r="O581" i="52"/>
  <c r="P581" i="52"/>
  <c r="A584" i="52"/>
  <c r="B583" i="52"/>
  <c r="F640" i="51"/>
  <c r="E640" i="51"/>
  <c r="M582" i="52"/>
  <c r="N582" i="52" s="1"/>
  <c r="C582" i="52"/>
  <c r="D582" i="52" s="1"/>
  <c r="H582" i="52"/>
  <c r="I582" i="52" s="1"/>
  <c r="M641" i="51"/>
  <c r="N641" i="51" s="1"/>
  <c r="C641" i="51"/>
  <c r="D641" i="51" s="1"/>
  <c r="H641" i="51"/>
  <c r="I641" i="51" s="1"/>
  <c r="O509" i="50"/>
  <c r="P509" i="50"/>
  <c r="C510" i="50"/>
  <c r="D510" i="50" s="1"/>
  <c r="M510" i="50"/>
  <c r="N510" i="50" s="1"/>
  <c r="H510" i="50"/>
  <c r="I510" i="50" s="1"/>
  <c r="E581" i="52"/>
  <c r="F581" i="52"/>
  <c r="K509" i="50"/>
  <c r="J509" i="50"/>
  <c r="K581" i="52"/>
  <c r="J581" i="52"/>
  <c r="A643" i="51"/>
  <c r="B642" i="51"/>
  <c r="E509" i="50"/>
  <c r="F509" i="50"/>
  <c r="K640" i="51"/>
  <c r="J640" i="51"/>
  <c r="A512" i="50"/>
  <c r="B511" i="50"/>
  <c r="A513" i="50" l="1"/>
  <c r="B512" i="50"/>
  <c r="C642" i="51"/>
  <c r="D642" i="51" s="1"/>
  <c r="H642" i="51"/>
  <c r="I642" i="51" s="1"/>
  <c r="M642" i="51"/>
  <c r="N642" i="51" s="1"/>
  <c r="J510" i="50"/>
  <c r="K510" i="50"/>
  <c r="K582" i="52"/>
  <c r="J582" i="52"/>
  <c r="P641" i="51"/>
  <c r="O641" i="51"/>
  <c r="A644" i="51"/>
  <c r="B643" i="51"/>
  <c r="O510" i="50"/>
  <c r="P510" i="50"/>
  <c r="J641" i="51"/>
  <c r="K641" i="51"/>
  <c r="E582" i="52"/>
  <c r="F582" i="52"/>
  <c r="C583" i="52"/>
  <c r="D583" i="52" s="1"/>
  <c r="M583" i="52"/>
  <c r="N583" i="52" s="1"/>
  <c r="H583" i="52"/>
  <c r="I583" i="52" s="1"/>
  <c r="M511" i="50"/>
  <c r="N511" i="50" s="1"/>
  <c r="H511" i="50"/>
  <c r="I511" i="50" s="1"/>
  <c r="C511" i="50"/>
  <c r="D511" i="50" s="1"/>
  <c r="E510" i="50"/>
  <c r="F510" i="50"/>
  <c r="F641" i="51"/>
  <c r="E641" i="51"/>
  <c r="P582" i="52"/>
  <c r="O582" i="52"/>
  <c r="A585" i="52"/>
  <c r="B584" i="52"/>
  <c r="B585" i="52" l="1"/>
  <c r="A586" i="52"/>
  <c r="J511" i="50"/>
  <c r="K511" i="50"/>
  <c r="F583" i="52"/>
  <c r="E583" i="52"/>
  <c r="A645" i="51"/>
  <c r="B644" i="51"/>
  <c r="K642" i="51"/>
  <c r="J642" i="51"/>
  <c r="O511" i="50"/>
  <c r="P511" i="50"/>
  <c r="E642" i="51"/>
  <c r="F642" i="51"/>
  <c r="J583" i="52"/>
  <c r="K583" i="52"/>
  <c r="M512" i="50"/>
  <c r="N512" i="50" s="1"/>
  <c r="C512" i="50"/>
  <c r="D512" i="50" s="1"/>
  <c r="H512" i="50"/>
  <c r="I512" i="50" s="1"/>
  <c r="H584" i="52"/>
  <c r="I584" i="52" s="1"/>
  <c r="C584" i="52"/>
  <c r="D584" i="52" s="1"/>
  <c r="M584" i="52"/>
  <c r="N584" i="52" s="1"/>
  <c r="E511" i="50"/>
  <c r="F511" i="50"/>
  <c r="O583" i="52"/>
  <c r="P583" i="52"/>
  <c r="C643" i="51"/>
  <c r="D643" i="51" s="1"/>
  <c r="M643" i="51"/>
  <c r="N643" i="51" s="1"/>
  <c r="H643" i="51"/>
  <c r="I643" i="51" s="1"/>
  <c r="P642" i="51"/>
  <c r="O642" i="51"/>
  <c r="A514" i="50"/>
  <c r="B513" i="50"/>
  <c r="A515" i="50" l="1"/>
  <c r="B514" i="50"/>
  <c r="P643" i="51"/>
  <c r="O643" i="51"/>
  <c r="J584" i="52"/>
  <c r="K584" i="52"/>
  <c r="M644" i="51"/>
  <c r="N644" i="51" s="1"/>
  <c r="C644" i="51"/>
  <c r="D644" i="51" s="1"/>
  <c r="H644" i="51"/>
  <c r="I644" i="51" s="1"/>
  <c r="F643" i="51"/>
  <c r="E643" i="51"/>
  <c r="K512" i="50"/>
  <c r="J512" i="50"/>
  <c r="B645" i="51"/>
  <c r="A646" i="51"/>
  <c r="O584" i="52"/>
  <c r="P584" i="52"/>
  <c r="E512" i="50"/>
  <c r="F512" i="50"/>
  <c r="B586" i="52"/>
  <c r="A587" i="52"/>
  <c r="M513" i="50"/>
  <c r="N513" i="50" s="1"/>
  <c r="H513" i="50"/>
  <c r="I513" i="50" s="1"/>
  <c r="C513" i="50"/>
  <c r="D513" i="50" s="1"/>
  <c r="J643" i="51"/>
  <c r="K643" i="51"/>
  <c r="F584" i="52"/>
  <c r="E584" i="52"/>
  <c r="O512" i="50"/>
  <c r="P512" i="50"/>
  <c r="C585" i="52"/>
  <c r="D585" i="52" s="1"/>
  <c r="H585" i="52"/>
  <c r="I585" i="52" s="1"/>
  <c r="M585" i="52"/>
  <c r="N585" i="52" s="1"/>
  <c r="F513" i="50" l="1"/>
  <c r="E513" i="50"/>
  <c r="H586" i="52"/>
  <c r="I586" i="52" s="1"/>
  <c r="M586" i="52"/>
  <c r="N586" i="52" s="1"/>
  <c r="C586" i="52"/>
  <c r="D586" i="52" s="1"/>
  <c r="F644" i="51"/>
  <c r="E644" i="51"/>
  <c r="E585" i="52"/>
  <c r="F585" i="52"/>
  <c r="K513" i="50"/>
  <c r="J513" i="50"/>
  <c r="A647" i="51"/>
  <c r="B646" i="51"/>
  <c r="P644" i="51"/>
  <c r="O644" i="51"/>
  <c r="J585" i="52"/>
  <c r="K585" i="52"/>
  <c r="P513" i="50"/>
  <c r="O513" i="50"/>
  <c r="H645" i="51"/>
  <c r="I645" i="51" s="1"/>
  <c r="C645" i="51"/>
  <c r="D645" i="51" s="1"/>
  <c r="M645" i="51"/>
  <c r="N645" i="51" s="1"/>
  <c r="M514" i="50"/>
  <c r="N514" i="50" s="1"/>
  <c r="H514" i="50"/>
  <c r="I514" i="50" s="1"/>
  <c r="C514" i="50"/>
  <c r="D514" i="50" s="1"/>
  <c r="P585" i="52"/>
  <c r="O585" i="52"/>
  <c r="A588" i="52"/>
  <c r="B587" i="52"/>
  <c r="J644" i="51"/>
  <c r="K644" i="51"/>
  <c r="A516" i="50"/>
  <c r="B515" i="50"/>
  <c r="M515" i="50" l="1"/>
  <c r="N515" i="50" s="1"/>
  <c r="C515" i="50"/>
  <c r="D515" i="50" s="1"/>
  <c r="H515" i="50"/>
  <c r="I515" i="50" s="1"/>
  <c r="A517" i="50"/>
  <c r="B516" i="50"/>
  <c r="B588" i="52"/>
  <c r="A589" i="52"/>
  <c r="J514" i="50"/>
  <c r="K514" i="50"/>
  <c r="J645" i="51"/>
  <c r="K645" i="51"/>
  <c r="B647" i="51"/>
  <c r="A648" i="51"/>
  <c r="O586" i="52"/>
  <c r="P586" i="52"/>
  <c r="P514" i="50"/>
  <c r="O514" i="50"/>
  <c r="J586" i="52"/>
  <c r="K586" i="52"/>
  <c r="C587" i="52"/>
  <c r="D587" i="52" s="1"/>
  <c r="M587" i="52"/>
  <c r="N587" i="52" s="1"/>
  <c r="H587" i="52"/>
  <c r="I587" i="52" s="1"/>
  <c r="O645" i="51"/>
  <c r="P645" i="51"/>
  <c r="F514" i="50"/>
  <c r="E514" i="50"/>
  <c r="E645" i="51"/>
  <c r="F645" i="51"/>
  <c r="C646" i="51"/>
  <c r="D646" i="51" s="1"/>
  <c r="H646" i="51"/>
  <c r="I646" i="51" s="1"/>
  <c r="M646" i="51"/>
  <c r="N646" i="51" s="1"/>
  <c r="F586" i="52"/>
  <c r="E586" i="52"/>
  <c r="E646" i="51" l="1"/>
  <c r="F646" i="51"/>
  <c r="F587" i="52"/>
  <c r="E587" i="52"/>
  <c r="C647" i="51"/>
  <c r="D647" i="51" s="1"/>
  <c r="H647" i="51"/>
  <c r="I647" i="51" s="1"/>
  <c r="M647" i="51"/>
  <c r="N647" i="51" s="1"/>
  <c r="B517" i="50"/>
  <c r="A518" i="50"/>
  <c r="P646" i="51"/>
  <c r="O646" i="51"/>
  <c r="B589" i="52"/>
  <c r="A590" i="52"/>
  <c r="J515" i="50"/>
  <c r="K515" i="50"/>
  <c r="K646" i="51"/>
  <c r="J646" i="51"/>
  <c r="J587" i="52"/>
  <c r="K587" i="52"/>
  <c r="C588" i="52"/>
  <c r="D588" i="52" s="1"/>
  <c r="M588" i="52"/>
  <c r="N588" i="52" s="1"/>
  <c r="H588" i="52"/>
  <c r="I588" i="52" s="1"/>
  <c r="E515" i="50"/>
  <c r="F515" i="50"/>
  <c r="O587" i="52"/>
  <c r="P587" i="52"/>
  <c r="B648" i="51"/>
  <c r="A649" i="51"/>
  <c r="M516" i="50"/>
  <c r="N516" i="50" s="1"/>
  <c r="H516" i="50"/>
  <c r="I516" i="50" s="1"/>
  <c r="C516" i="50"/>
  <c r="D516" i="50" s="1"/>
  <c r="P515" i="50"/>
  <c r="O515" i="50"/>
  <c r="A650" i="51" l="1"/>
  <c r="B649" i="51"/>
  <c r="F588" i="52"/>
  <c r="E588" i="52"/>
  <c r="H589" i="52"/>
  <c r="I589" i="52" s="1"/>
  <c r="C589" i="52"/>
  <c r="D589" i="52" s="1"/>
  <c r="M589" i="52"/>
  <c r="N589" i="52" s="1"/>
  <c r="M517" i="50"/>
  <c r="N517" i="50" s="1"/>
  <c r="C517" i="50"/>
  <c r="D517" i="50" s="1"/>
  <c r="H517" i="50"/>
  <c r="I517" i="50" s="1"/>
  <c r="E516" i="50"/>
  <c r="F516" i="50"/>
  <c r="M648" i="51"/>
  <c r="N648" i="51" s="1"/>
  <c r="H648" i="51"/>
  <c r="I648" i="51" s="1"/>
  <c r="C648" i="51"/>
  <c r="D648" i="51" s="1"/>
  <c r="P647" i="51"/>
  <c r="O647" i="51"/>
  <c r="J516" i="50"/>
  <c r="K516" i="50"/>
  <c r="K588" i="52"/>
  <c r="J588" i="52"/>
  <c r="J647" i="51"/>
  <c r="K647" i="51"/>
  <c r="P516" i="50"/>
  <c r="O516" i="50"/>
  <c r="O588" i="52"/>
  <c r="P588" i="52"/>
  <c r="A591" i="52"/>
  <c r="B590" i="52"/>
  <c r="B518" i="50"/>
  <c r="A519" i="50"/>
  <c r="E647" i="51"/>
  <c r="F647" i="51"/>
  <c r="A592" i="52" l="1"/>
  <c r="B591" i="52"/>
  <c r="P517" i="50"/>
  <c r="O517" i="50"/>
  <c r="B519" i="50"/>
  <c r="A520" i="50"/>
  <c r="E648" i="51"/>
  <c r="F648" i="51"/>
  <c r="P589" i="52"/>
  <c r="O589" i="52"/>
  <c r="C518" i="50"/>
  <c r="D518" i="50" s="1"/>
  <c r="M518" i="50"/>
  <c r="N518" i="50" s="1"/>
  <c r="H518" i="50"/>
  <c r="I518" i="50" s="1"/>
  <c r="K648" i="51"/>
  <c r="J648" i="51"/>
  <c r="J517" i="50"/>
  <c r="K517" i="50"/>
  <c r="F589" i="52"/>
  <c r="E589" i="52"/>
  <c r="H649" i="51"/>
  <c r="I649" i="51" s="1"/>
  <c r="C649" i="51"/>
  <c r="D649" i="51" s="1"/>
  <c r="M649" i="51"/>
  <c r="N649" i="51" s="1"/>
  <c r="M590" i="52"/>
  <c r="N590" i="52" s="1"/>
  <c r="H590" i="52"/>
  <c r="I590" i="52" s="1"/>
  <c r="C590" i="52"/>
  <c r="D590" i="52" s="1"/>
  <c r="O648" i="51"/>
  <c r="P648" i="51"/>
  <c r="F517" i="50"/>
  <c r="E517" i="50"/>
  <c r="J589" i="52"/>
  <c r="K589" i="52"/>
  <c r="A651" i="51"/>
  <c r="B650" i="51"/>
  <c r="A652" i="51" l="1"/>
  <c r="B651" i="51"/>
  <c r="K590" i="52"/>
  <c r="J590" i="52"/>
  <c r="J649" i="51"/>
  <c r="K649" i="51"/>
  <c r="P518" i="50"/>
  <c r="O518" i="50"/>
  <c r="P590" i="52"/>
  <c r="O590" i="52"/>
  <c r="E518" i="50"/>
  <c r="F518" i="50"/>
  <c r="O649" i="51"/>
  <c r="P649" i="51"/>
  <c r="B520" i="50"/>
  <c r="A521" i="50"/>
  <c r="M591" i="52"/>
  <c r="N591" i="52" s="1"/>
  <c r="C591" i="52"/>
  <c r="D591" i="52" s="1"/>
  <c r="H591" i="52"/>
  <c r="I591" i="52" s="1"/>
  <c r="H650" i="51"/>
  <c r="I650" i="51" s="1"/>
  <c r="M650" i="51"/>
  <c r="N650" i="51" s="1"/>
  <c r="C650" i="51"/>
  <c r="D650" i="51" s="1"/>
  <c r="F590" i="52"/>
  <c r="E590" i="52"/>
  <c r="F649" i="51"/>
  <c r="E649" i="51"/>
  <c r="J518" i="50"/>
  <c r="K518" i="50"/>
  <c r="H519" i="50"/>
  <c r="I519" i="50" s="1"/>
  <c r="M519" i="50"/>
  <c r="N519" i="50" s="1"/>
  <c r="C519" i="50"/>
  <c r="D519" i="50" s="1"/>
  <c r="A593" i="52"/>
  <c r="B592" i="52"/>
  <c r="K519" i="50" l="1"/>
  <c r="J519" i="50"/>
  <c r="A594" i="52"/>
  <c r="B593" i="52"/>
  <c r="K650" i="51"/>
  <c r="J650" i="51"/>
  <c r="A522" i="50"/>
  <c r="B521" i="50"/>
  <c r="F519" i="50"/>
  <c r="E519" i="50"/>
  <c r="J591" i="52"/>
  <c r="K591" i="52"/>
  <c r="H520" i="50"/>
  <c r="I520" i="50" s="1"/>
  <c r="C520" i="50"/>
  <c r="D520" i="50" s="1"/>
  <c r="M520" i="50"/>
  <c r="N520" i="50" s="1"/>
  <c r="P519" i="50"/>
  <c r="O519" i="50"/>
  <c r="F650" i="51"/>
  <c r="E650" i="51"/>
  <c r="E591" i="52"/>
  <c r="F591" i="52"/>
  <c r="M651" i="51"/>
  <c r="N651" i="51" s="1"/>
  <c r="H651" i="51"/>
  <c r="I651" i="51" s="1"/>
  <c r="C651" i="51"/>
  <c r="D651" i="51" s="1"/>
  <c r="H592" i="52"/>
  <c r="I592" i="52" s="1"/>
  <c r="M592" i="52"/>
  <c r="N592" i="52" s="1"/>
  <c r="C592" i="52"/>
  <c r="D592" i="52" s="1"/>
  <c r="P650" i="51"/>
  <c r="O650" i="51"/>
  <c r="P591" i="52"/>
  <c r="O591" i="52"/>
  <c r="B652" i="51"/>
  <c r="A653" i="51"/>
  <c r="B653" i="51" l="1"/>
  <c r="A654" i="51"/>
  <c r="M652" i="51"/>
  <c r="N652" i="51" s="1"/>
  <c r="H652" i="51"/>
  <c r="I652" i="51" s="1"/>
  <c r="C652" i="51"/>
  <c r="D652" i="51" s="1"/>
  <c r="E651" i="51"/>
  <c r="F651" i="51"/>
  <c r="H521" i="50"/>
  <c r="I521" i="50" s="1"/>
  <c r="M521" i="50"/>
  <c r="N521" i="50" s="1"/>
  <c r="C521" i="50"/>
  <c r="D521" i="50" s="1"/>
  <c r="H593" i="52"/>
  <c r="I593" i="52" s="1"/>
  <c r="M593" i="52"/>
  <c r="N593" i="52" s="1"/>
  <c r="C593" i="52"/>
  <c r="D593" i="52" s="1"/>
  <c r="E592" i="52"/>
  <c r="F592" i="52"/>
  <c r="J651" i="51"/>
  <c r="K651" i="51"/>
  <c r="O520" i="50"/>
  <c r="P520" i="50"/>
  <c r="A523" i="50"/>
  <c r="B522" i="50"/>
  <c r="B594" i="52"/>
  <c r="A595" i="52"/>
  <c r="B595" i="52" s="1"/>
  <c r="P592" i="52"/>
  <c r="O592" i="52"/>
  <c r="O651" i="51"/>
  <c r="P651" i="51"/>
  <c r="F520" i="50"/>
  <c r="E520" i="50"/>
  <c r="K592" i="52"/>
  <c r="J592" i="52"/>
  <c r="K520" i="50"/>
  <c r="J520" i="50"/>
  <c r="A524" i="50" l="1"/>
  <c r="B523" i="50"/>
  <c r="O593" i="52"/>
  <c r="P593" i="52"/>
  <c r="J521" i="50"/>
  <c r="K521" i="50"/>
  <c r="J652" i="51"/>
  <c r="K652" i="51"/>
  <c r="J593" i="52"/>
  <c r="K593" i="52"/>
  <c r="O652" i="51"/>
  <c r="P652" i="51"/>
  <c r="C595" i="52"/>
  <c r="D595" i="52" s="1"/>
  <c r="H595" i="52"/>
  <c r="I595" i="52" s="1"/>
  <c r="M595" i="52"/>
  <c r="N595" i="52" s="1"/>
  <c r="C594" i="52"/>
  <c r="D594" i="52" s="1"/>
  <c r="H594" i="52"/>
  <c r="I594" i="52" s="1"/>
  <c r="M594" i="52"/>
  <c r="N594" i="52" s="1"/>
  <c r="F521" i="50"/>
  <c r="E521" i="50"/>
  <c r="B654" i="51"/>
  <c r="A655" i="51"/>
  <c r="C522" i="50"/>
  <c r="D522" i="50" s="1"/>
  <c r="M522" i="50"/>
  <c r="N522" i="50" s="1"/>
  <c r="H522" i="50"/>
  <c r="I522" i="50" s="1"/>
  <c r="F593" i="52"/>
  <c r="E593" i="52"/>
  <c r="O521" i="50"/>
  <c r="P521" i="50"/>
  <c r="F652" i="51"/>
  <c r="E652" i="51"/>
  <c r="M653" i="51"/>
  <c r="N653" i="51" s="1"/>
  <c r="H653" i="51"/>
  <c r="I653" i="51" s="1"/>
  <c r="C653" i="51"/>
  <c r="D653" i="51" s="1"/>
  <c r="P653" i="51" l="1"/>
  <c r="O653" i="51"/>
  <c r="O522" i="50"/>
  <c r="P522" i="50"/>
  <c r="F594" i="52"/>
  <c r="E594" i="52"/>
  <c r="F522" i="50"/>
  <c r="E522" i="50"/>
  <c r="P595" i="52"/>
  <c r="O595" i="52"/>
  <c r="F653" i="51"/>
  <c r="E653" i="51"/>
  <c r="A656" i="51"/>
  <c r="B656" i="51" s="1"/>
  <c r="B655" i="51"/>
  <c r="O594" i="52"/>
  <c r="P594" i="52"/>
  <c r="K595" i="52"/>
  <c r="J595" i="52"/>
  <c r="H523" i="50"/>
  <c r="I523" i="50" s="1"/>
  <c r="C523" i="50"/>
  <c r="D523" i="50" s="1"/>
  <c r="M523" i="50"/>
  <c r="N523" i="50" s="1"/>
  <c r="K653" i="51"/>
  <c r="J653" i="51"/>
  <c r="J522" i="50"/>
  <c r="K522" i="50"/>
  <c r="M654" i="51"/>
  <c r="N654" i="51" s="1"/>
  <c r="C654" i="51"/>
  <c r="D654" i="51" s="1"/>
  <c r="H654" i="51"/>
  <c r="I654" i="51" s="1"/>
  <c r="K594" i="52"/>
  <c r="J594" i="52"/>
  <c r="E595" i="52"/>
  <c r="F595" i="52"/>
  <c r="B524" i="50"/>
  <c r="A525" i="50"/>
  <c r="B525" i="50" s="1"/>
  <c r="H524" i="50" l="1"/>
  <c r="I524" i="50" s="1"/>
  <c r="C524" i="50"/>
  <c r="D524" i="50" s="1"/>
  <c r="M524" i="50"/>
  <c r="N524" i="50" s="1"/>
  <c r="J654" i="51"/>
  <c r="K654" i="51"/>
  <c r="E523" i="50"/>
  <c r="F523" i="50"/>
  <c r="K523" i="50"/>
  <c r="J523" i="50"/>
  <c r="E654" i="51"/>
  <c r="F654" i="51"/>
  <c r="H525" i="50"/>
  <c r="I525" i="50" s="1"/>
  <c r="C525" i="50"/>
  <c r="D525" i="50" s="1"/>
  <c r="M525" i="50"/>
  <c r="N525" i="50" s="1"/>
  <c r="P654" i="51"/>
  <c r="O654" i="51"/>
  <c r="H655" i="51"/>
  <c r="I655" i="51" s="1"/>
  <c r="C655" i="51"/>
  <c r="D655" i="51" s="1"/>
  <c r="M655" i="51"/>
  <c r="N655" i="51" s="1"/>
  <c r="O523" i="50"/>
  <c r="P523" i="50"/>
  <c r="M656" i="51"/>
  <c r="N656" i="51" s="1"/>
  <c r="H656" i="51"/>
  <c r="I656" i="51" s="1"/>
  <c r="C656" i="51"/>
  <c r="D656" i="51" s="1"/>
  <c r="E656" i="51" l="1"/>
  <c r="F656" i="51"/>
  <c r="K525" i="50"/>
  <c r="J525" i="50"/>
  <c r="J656" i="51"/>
  <c r="K656" i="51"/>
  <c r="O655" i="51"/>
  <c r="P655" i="51"/>
  <c r="P524" i="50"/>
  <c r="O524" i="50"/>
  <c r="O656" i="51"/>
  <c r="P656" i="51"/>
  <c r="F655" i="51"/>
  <c r="E655" i="51"/>
  <c r="P525" i="50"/>
  <c r="O525" i="50"/>
  <c r="E524" i="50"/>
  <c r="F524" i="50"/>
  <c r="K655" i="51"/>
  <c r="J655" i="51"/>
  <c r="E525" i="50"/>
  <c r="F525" i="50"/>
  <c r="K524" i="50"/>
  <c r="J524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Dorry, Jasmin</author>
  </authors>
  <commentList>
    <comment ref="C21" authorId="0" shapeId="0" xr:uid="{00000000-0006-0000-0D00-000001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X und Y sind 2 Variablen, die man gemessen hat (zB Blutdruck &amp; Blutfette)</t>
        </r>
      </text>
    </comment>
    <comment ref="C96" authorId="0" shapeId="0" xr:uid="{00000000-0006-0000-0D00-000002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diese beiden Datenreihen sind jetzt oben in dem Graphen zu sehen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Dorry, Jasmin</author>
  </authors>
  <commentList>
    <comment ref="C13" authorId="0" shapeId="0" xr:uid="{00000000-0006-0000-0E00-000001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X und Y sind 2 Variablen, die man gemessen hat (zB Blutdruck &amp; Blutfette)</t>
        </r>
      </text>
    </comment>
    <comment ref="C88" authorId="0" shapeId="0" xr:uid="{00000000-0006-0000-0E00-000002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diese beiden Datenreihen sind jetzt oben in dem Graphen zu sehen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Dorry, Jasmin</author>
  </authors>
  <commentList>
    <comment ref="C15" authorId="0" shapeId="0" xr:uid="{00000000-0006-0000-0F00-000001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X und Y sind 2 Variablen, die man gemessen hat (zB Blutdruck &amp; Blutfette)</t>
        </r>
      </text>
    </comment>
    <comment ref="C90" authorId="0" shapeId="0" xr:uid="{00000000-0006-0000-0F00-000002000000}">
      <text>
        <r>
          <rPr>
            <b/>
            <sz val="9"/>
            <color indexed="81"/>
            <rFont val="Segoe UI"/>
            <family val="2"/>
          </rPr>
          <t>Dorry, Jasmin:</t>
        </r>
        <r>
          <rPr>
            <sz val="9"/>
            <color indexed="81"/>
            <rFont val="Segoe UI"/>
            <family val="2"/>
          </rPr>
          <t xml:space="preserve">
diese beiden Datenreihen sind jetzt oben in dem Graphen zu sehen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</author>
  </authors>
  <commentList>
    <comment ref="D214" authorId="0" shapeId="0" xr:uid="{00000000-0006-0000-1300-000001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kanonische Korrelation</t>
        </r>
      </text>
    </comment>
    <comment ref="H214" authorId="0" shapeId="0" xr:uid="{00000000-0006-0000-1300-000002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Signifikanz des Chi^2-Tests</t>
        </r>
      </text>
    </comment>
    <comment ref="B215" authorId="0" shapeId="0" xr:uid="{00000000-0006-0000-1300-000003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Gesamtlösung; hier wurden 0 roots entfernt</t>
        </r>
      </text>
    </comment>
    <comment ref="C215" authorId="0" shapeId="0" xr:uid="{00000000-0006-0000-1300-000004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Eigenwert der Root 1</t>
        </r>
      </text>
    </comment>
    <comment ref="B216" authorId="0" shapeId="0" xr:uid="{00000000-0006-0000-1300-000005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die 2. root (da die 1. root entfernt wurde)</t>
        </r>
      </text>
    </comment>
    <comment ref="C216" authorId="0" shapeId="0" xr:uid="{00000000-0006-0000-1300-000006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Eigenwert der Root 2</t>
        </r>
      </text>
    </comment>
    <comment ref="E240" authorId="0" shapeId="0" xr:uid="{00000000-0006-0000-1300-000007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F-Test</t>
        </r>
      </text>
    </comment>
    <comment ref="F240" authorId="0" shapeId="0" xr:uid="{00000000-0006-0000-1300-000008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p-Wert des F-Test</t>
        </r>
      </text>
    </comment>
    <comment ref="G240" authorId="0" shapeId="0" xr:uid="{00000000-0006-0000-1300-000009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Tolerance</t>
        </r>
      </text>
    </comment>
    <comment ref="C241" authorId="0" shapeId="0" xr:uid="{00000000-0006-0000-1300-00000A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Änderung des Wilks Lambda ist klein im Vgl. zum Gesamt-Wilks (oben berechnet)</t>
        </r>
      </text>
    </comment>
    <comment ref="F241" authorId="0" shapeId="0" xr:uid="{00000000-0006-0000-1300-00000B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&gt; keine signifikante Änderung der Trennleistung </t>
        </r>
      </text>
    </comment>
    <comment ref="G241" authorId="0" shapeId="0" xr:uid="{00000000-0006-0000-1300-00000C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75% dieser Variable kann man durch die anderen beiden Variablen </t>
        </r>
        <r>
          <rPr>
            <i/>
            <sz val="9"/>
            <color indexed="81"/>
            <rFont val="Segoe UI"/>
            <family val="2"/>
          </rPr>
          <t xml:space="preserve">nicht </t>
        </r>
        <r>
          <rPr>
            <sz val="9"/>
            <color indexed="81"/>
            <rFont val="Segoe UI"/>
            <family val="2"/>
          </rPr>
          <t>erklären</t>
        </r>
      </text>
    </comment>
    <comment ref="F242" authorId="0" shapeId="0" xr:uid="{00000000-0006-0000-1300-00000D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&gt; besser mit dem 10%-Kriterium bewerten, da man sonst vorschnell Variablen rauswirft</t>
        </r>
      </text>
    </comment>
    <comment ref="G242" authorId="0" shapeId="0" xr:uid="{00000000-0006-0000-1300-00000E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ca. 50% uniqueness 
die anderen 50% stecken in den anderen beiden Variablen </t>
        </r>
      </text>
    </comment>
    <comment ref="H242" authorId="0" shapeId="0" xr:uid="{00000000-0006-0000-1300-00000F000000}">
      <text>
        <r>
          <rPr>
            <b/>
            <sz val="9"/>
            <color indexed="81"/>
            <rFont val="Segoe UI"/>
            <family val="2"/>
          </rPr>
          <t>Jasmin:</t>
        </r>
        <r>
          <rPr>
            <sz val="9"/>
            <color indexed="81"/>
            <rFont val="Segoe UI"/>
            <family val="2"/>
          </rPr>
          <t xml:space="preserve">
enthält Informationen, die auch in den anderen Variablen enthalten ist </t>
        </r>
      </text>
    </comment>
  </commentList>
</comments>
</file>

<file path=xl/sharedStrings.xml><?xml version="1.0" encoding="utf-8"?>
<sst xmlns="http://schemas.openxmlformats.org/spreadsheetml/2006/main" count="3895" uniqueCount="1227">
  <si>
    <t>Wintersemester 2017/2018</t>
  </si>
  <si>
    <t>Multidimensionale Skalierung</t>
  </si>
  <si>
    <t>Ausgangslage</t>
  </si>
  <si>
    <t>Man erhält eine Tabelle mit Items/Kategorien/Namen, die man auf bestimmten Adjektiven oder Skalen raten muss.</t>
  </si>
  <si>
    <t>Alternativ kann man auch direkt über eine Unabhängigkeitsanalyse, bei der man die Items auf ähnlich und unähnlich</t>
  </si>
  <si>
    <t>ratet, eine Unähnlichkeitsmatrix erhalten.</t>
  </si>
  <si>
    <t>Durchführung</t>
  </si>
  <si>
    <t>freude</t>
  </si>
  <si>
    <t>trauer</t>
  </si>
  <si>
    <t>ärger</t>
  </si>
  <si>
    <t>wut</t>
  </si>
  <si>
    <t>liebe</t>
  </si>
  <si>
    <t>hass</t>
  </si>
  <si>
    <t>rot</t>
  </si>
  <si>
    <t>grün</t>
  </si>
  <si>
    <t>gelb</t>
  </si>
  <si>
    <t>blau</t>
  </si>
  <si>
    <t>lila</t>
  </si>
  <si>
    <t>türkis</t>
  </si>
  <si>
    <t>a) Tabelle mit Items/Variablen (Farben) ausfüllen. Jedes Item auf jeder Dimension/Adjektiv raten.</t>
  </si>
  <si>
    <t>b) obenstehende Tabelle kopieren und hier einfügen und transponieren (sodass Variablen oben stehen)</t>
  </si>
  <si>
    <t>c) Statistica öffnen und Analysen mit Statistica Durchführen.</t>
  </si>
  <si>
    <t>Bedienung:</t>
  </si>
  <si>
    <t>Neu -&gt; Tabelle erstellen -&gt; Anzahl der Variablen und Fälle eingeben</t>
  </si>
  <si>
    <t>Fallnamen und Variablennamen in Statistica eintragen</t>
  </si>
  <si>
    <t>Statistik -&gt; Elementare Statistik -&gt; Korrelationsmatrizen -&gt; Zusamenfassung</t>
  </si>
  <si>
    <t>Korrelation -&gt; alle auswählen -&gt; mit Kopfzeile kopieren -&gt; in Excel einfügen</t>
  </si>
  <si>
    <t>d) kopierte Korrelationsmatrix in Excel einfügen</t>
  </si>
  <si>
    <t>Korrelationen (Tabelle2)
Markierte Korr. signifikant für p &lt; ,05000
N=6 (Fallweiser Ausschluss von MD)</t>
  </si>
  <si>
    <t>Hinweis: In Korrelationsmatrix stehen Variablen sowhl oben als auch links.</t>
  </si>
  <si>
    <t>Unähnlichkeitsmatrix</t>
  </si>
  <si>
    <t>und 2</t>
  </si>
  <si>
    <t xml:space="preserve">e) Unähnlichkeitsmatrix gemäß der Formel 2-(r+1) ausfüllen. Je höher der Wert desto unähnlicher. Werte variieren zwischen 0 </t>
  </si>
  <si>
    <t>f) Zurück zu Statistica und dort eine Matrix Datei erstellen.</t>
  </si>
  <si>
    <t>Neu -&gt; Tabelle erstellen -&gt; Anzahl der Variablen und Fälle+4 eingeben</t>
  </si>
  <si>
    <t>Transponierte Tabelle kopieren -&gt; In Statistica einfügen</t>
  </si>
  <si>
    <t>Zusätzliche 4 Fälle beschriften mit: MEANS, ST.DEV, NO.CASES, MATRIX</t>
  </si>
  <si>
    <t>Zusätzliche Fälle mit Werten versehen: NO.CASES = 4 und MATRIX = 3</t>
  </si>
  <si>
    <t>Daten aus Unähnlichkeitsmatrix aus Excel kopieren und in Statistica einfügen</t>
  </si>
  <si>
    <t>(MDS aus Unähnlichkeitsmaß verbessert Stresswert, weil Rangbindung entfällt)</t>
  </si>
  <si>
    <t>Statistik -&gt; Explorative Verfahren -&gt; MDS -&gt; Unter Variablen alle markieren -&gt;</t>
  </si>
  <si>
    <t xml:space="preserve">Dimensionen 2 </t>
  </si>
  <si>
    <t xml:space="preserve">Ausgabe: Shepard Diagramm + Zusammenfassung Statistiken (Details) + 2D </t>
  </si>
  <si>
    <t xml:space="preserve">Grafik Endkonfiguration </t>
  </si>
  <si>
    <t>g) Shepard Diagramm in Excel einfügen.</t>
  </si>
  <si>
    <t>Hier ist Platz für das Diagramm</t>
  </si>
  <si>
    <t>h) 2D Endkonfiguration in Excel einfügen.</t>
  </si>
  <si>
    <t>i) Zusammenfassung der Statistiken einfügen.</t>
  </si>
  <si>
    <t xml:space="preserve"> </t>
  </si>
  <si>
    <t>Distanz</t>
  </si>
  <si>
    <t>D-Stern</t>
  </si>
  <si>
    <t>D-Dach</t>
  </si>
  <si>
    <t>D(6,3)</t>
  </si>
  <si>
    <t>D(6,2)</t>
  </si>
  <si>
    <t>D(5,4)</t>
  </si>
  <si>
    <t>D(4,2)</t>
  </si>
  <si>
    <t>D(3,2)</t>
  </si>
  <si>
    <t>D(6,1)</t>
  </si>
  <si>
    <t>D(5,2)</t>
  </si>
  <si>
    <t>D(3,1)</t>
  </si>
  <si>
    <t>D(5,1)</t>
  </si>
  <si>
    <t>D(6,4)</t>
  </si>
  <si>
    <t>D(2,1)</t>
  </si>
  <si>
    <t>D(6,5)</t>
  </si>
  <si>
    <t>D(4,3)</t>
  </si>
  <si>
    <t>D(5,3)</t>
  </si>
  <si>
    <t>D(4,1)</t>
  </si>
  <si>
    <t>Endkonfiguration (Tabelle2)
D-Stern: Phi = 0,000000; Alienation = 0,000000
D-Dach: Phi = 0,000000; Stress = 0,000000</t>
  </si>
  <si>
    <t>Kopfzeile:</t>
  </si>
  <si>
    <t>Hinweis: Nicht Original, weil Statistica abgeschmiert ist.</t>
  </si>
  <si>
    <t>j) Stresswert gemäß der Formel =WURZEL((SUMMENPRODUKT((Distanz-DDach)^2))/SUMMENPRODUKT(Distanz^2)) berechnen.</t>
  </si>
  <si>
    <t>Stress</t>
  </si>
  <si>
    <t>Berechnung</t>
  </si>
  <si>
    <t>Bewertung</t>
  </si>
  <si>
    <t>Lineare Gleichungssysteme</t>
  </si>
  <si>
    <t xml:space="preserve">Regel 1.) </t>
  </si>
  <si>
    <r>
      <t>0 = x</t>
    </r>
    <r>
      <rPr>
        <vertAlign val="subscript"/>
        <sz val="11"/>
        <color indexed="8"/>
        <rFont val="Calibri"/>
        <family val="2"/>
      </rPr>
      <t>1</t>
    </r>
    <r>
      <rPr>
        <sz val="10"/>
        <rFont val="Arial"/>
      </rPr>
      <t xml:space="preserve">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1</t>
    </r>
    <r>
      <rPr>
        <sz val="10"/>
        <rFont val="Arial"/>
      </rPr>
      <t xml:space="preserve"> + x</t>
    </r>
    <r>
      <rPr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 + … + x</t>
    </r>
    <r>
      <rPr>
        <vertAlign val="subscript"/>
        <sz val="11"/>
        <color indexed="8"/>
        <rFont val="Calibri"/>
        <family val="2"/>
      </rPr>
      <t>n</t>
    </r>
    <r>
      <rPr>
        <sz val="10"/>
        <rFont val="Arial"/>
      </rPr>
      <t xml:space="preserve">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 xml:space="preserve">n </t>
    </r>
  </si>
  <si>
    <t>(Vektoren fett)</t>
  </si>
  <si>
    <r>
      <t>muss gelten nur für x</t>
    </r>
    <r>
      <rPr>
        <vertAlign val="subscript"/>
        <sz val="11"/>
        <color indexed="8"/>
        <rFont val="Calibri"/>
        <family val="2"/>
      </rPr>
      <t>1</t>
    </r>
    <r>
      <rPr>
        <sz val="10"/>
        <rFont val="Arial"/>
      </rPr>
      <t>, x</t>
    </r>
    <r>
      <rPr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 x</t>
    </r>
    <r>
      <rPr>
        <vertAlign val="subscript"/>
        <sz val="11"/>
        <color indexed="8"/>
        <rFont val="Calibri"/>
        <family val="2"/>
      </rPr>
      <t>n</t>
    </r>
    <r>
      <rPr>
        <sz val="10"/>
        <rFont val="Arial"/>
      </rPr>
      <t xml:space="preserve"> = 0, sonst heißen die Vektoren linear abhängig</t>
    </r>
  </si>
  <si>
    <t>Regel 2.)</t>
  </si>
  <si>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n</t>
    </r>
    <r>
      <rPr>
        <sz val="10"/>
        <rFont val="Arial"/>
      </rPr>
      <t xml:space="preserve"> = x</t>
    </r>
    <r>
      <rPr>
        <vertAlign val="subscript"/>
        <sz val="11"/>
        <color indexed="8"/>
        <rFont val="Calibri"/>
        <family val="2"/>
      </rPr>
      <t>1</t>
    </r>
    <r>
      <rPr>
        <sz val="10"/>
        <rFont val="Arial"/>
      </rPr>
      <t xml:space="preserve">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1</t>
    </r>
    <r>
      <rPr>
        <sz val="10"/>
        <rFont val="Arial"/>
      </rPr>
      <t xml:space="preserve"> + x</t>
    </r>
    <r>
      <rPr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 + … + x</t>
    </r>
    <r>
      <rPr>
        <vertAlign val="subscript"/>
        <sz val="11"/>
        <color indexed="8"/>
        <rFont val="Calibri"/>
        <family val="2"/>
      </rPr>
      <t>n</t>
    </r>
    <r>
      <rPr>
        <sz val="10"/>
        <rFont val="Arial"/>
      </rPr>
      <t xml:space="preserve"> * (n-1) *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(n-1)</t>
    </r>
  </si>
  <si>
    <t>Für beide Fälle gilt, es kann:</t>
  </si>
  <si>
    <r>
      <t xml:space="preserve">1.) Eine eindeutige Lösung geben (es geht nur auf eine Art und Weise den </t>
    </r>
    <r>
      <rPr>
        <b/>
        <sz val="11"/>
        <color indexed="8"/>
        <rFont val="Calibri"/>
        <family val="2"/>
      </rPr>
      <t>a</t>
    </r>
    <r>
      <rPr>
        <b/>
        <vertAlign val="subscript"/>
        <sz val="11"/>
        <color indexed="8"/>
        <rFont val="Calibri"/>
        <family val="2"/>
      </rPr>
      <t>n</t>
    </r>
    <r>
      <rPr>
        <sz val="10"/>
        <rFont val="Arial"/>
      </rPr>
      <t xml:space="preserve"> aus den anderen beiden zu erzeugen)</t>
    </r>
  </si>
  <si>
    <t>=&gt; Die erzeugenden Vektoren sind unterinander linear unabhängig</t>
  </si>
  <si>
    <t>2.) Eine mehrdeutige Lösung geben, d.h. es gibt unendlich viele Lösungen</t>
  </si>
  <si>
    <t>=&gt; Die erzeugenden Vektoren sind untereinander linear abhängig</t>
  </si>
  <si>
    <t xml:space="preserve">3.) Keine Lösung geben </t>
  </si>
  <si>
    <t>=&gt; Alle Vektoren sind linear unabhängig</t>
  </si>
  <si>
    <t xml:space="preserve">Vekoren heißen linear unabhängig, wenn man mit ihnen nur dadurch auf den Nullpunkt zeigen kann, indem </t>
  </si>
  <si>
    <t>man alle Koeffizienten gleich Null setzt.</t>
  </si>
  <si>
    <t xml:space="preserve"> Vektoren heißen linear abhängig, wenn man einen von ihnen durch Linearkombination aus den anderen </t>
  </si>
  <si>
    <t>erzeugen kann.</t>
  </si>
  <si>
    <t>=</t>
  </si>
  <si>
    <r>
      <t>x</t>
    </r>
    <r>
      <rPr>
        <vertAlign val="subscript"/>
        <sz val="11"/>
        <color indexed="8"/>
        <rFont val="Calibri"/>
        <family val="2"/>
      </rPr>
      <t>2</t>
    </r>
  </si>
  <si>
    <t>+</t>
  </si>
  <si>
    <r>
      <t>x</t>
    </r>
    <r>
      <rPr>
        <vertAlign val="subscript"/>
        <sz val="11"/>
        <color indexed="8"/>
        <rFont val="Calibri"/>
        <family val="2"/>
      </rPr>
      <t>1</t>
    </r>
  </si>
  <si>
    <t>b</t>
  </si>
  <si>
    <t>Für alle Beispiele gilt folgende Gleichung:</t>
  </si>
  <si>
    <t>Alle Gleichungssysteme werden mit der Row-Reduction Methode gelöst ( =&gt; Zweck: das LGS in die Staffelform umformen)</t>
  </si>
  <si>
    <t>Eine Rechnung um L2' zu generieren</t>
  </si>
  <si>
    <t>=&gt; Alle Funktionen sind Matrix-Funktionen (zuerst komplette Zeile markieren, Rechnung eingeben und mit Tastenkombination STRG+ALT+Enter bestätigen)</t>
  </si>
  <si>
    <t xml:space="preserve">1.) Führender Koeffizient (erste Zahl &gt; 0) der Zeile, in der man sich gerade befindet (L2), wird multipliziert </t>
  </si>
  <si>
    <t xml:space="preserve">mit der Zeile, die unverändert bleibt (L1) </t>
  </si>
  <si>
    <t xml:space="preserve">2.) Davon wird subtrahiert die Multiplikation aus dem führenden Koeffizient der unveränderten Zeile (L1) </t>
  </si>
  <si>
    <t>mit der Zeile, in der man sich befindet (L2)</t>
  </si>
  <si>
    <t xml:space="preserve">3.) Das gleiche wird in einem weiteren Schritt auch für die nächste Zeile gemacht um L3' und später L3'' </t>
  </si>
  <si>
    <t>(Bei L3'' ist die unveränderte Zeile L2') zu generieren.</t>
  </si>
  <si>
    <r>
      <t>Dagegen ist A (bestehend aus a</t>
    </r>
    <r>
      <rPr>
        <vertAlign val="subscript"/>
        <sz val="11"/>
        <color indexed="8"/>
        <rFont val="Calibri"/>
        <family val="2"/>
      </rPr>
      <t>1</t>
    </r>
    <r>
      <rPr>
        <sz val="10"/>
        <rFont val="Arial"/>
      </rPr>
      <t xml:space="preserve"> und a</t>
    </r>
    <r>
      <rPr>
        <vertAlign val="subscript"/>
        <sz val="11"/>
        <color indexed="8"/>
        <rFont val="Calibri"/>
        <family val="2"/>
      </rPr>
      <t>2</t>
    </r>
    <r>
      <rPr>
        <sz val="10"/>
        <rFont val="Arial"/>
      </rPr>
      <t xml:space="preserve">) die </t>
    </r>
    <r>
      <rPr>
        <sz val="11"/>
        <color indexed="10"/>
        <rFont val="Calibri"/>
        <family val="2"/>
      </rPr>
      <t>Koeffizientenmatrix</t>
    </r>
  </si>
  <si>
    <r>
      <t xml:space="preserve">(A|b) = </t>
    </r>
    <r>
      <rPr>
        <sz val="11"/>
        <color indexed="10"/>
        <rFont val="Calibri"/>
        <family val="2"/>
      </rPr>
      <t>erweiterte Matrix</t>
    </r>
  </si>
  <si>
    <t>a) Eindeutige Lösung</t>
  </si>
  <si>
    <t>L3''</t>
  </si>
  <si>
    <t>Zweiter Schritt um nur noch L3'' zu berechnen</t>
  </si>
  <si>
    <t>L3'</t>
  </si>
  <si>
    <t>L2'</t>
  </si>
  <si>
    <t>L1</t>
  </si>
  <si>
    <t>Erster Schritt um L2' und L3' zu berechnen</t>
  </si>
  <si>
    <t>L3</t>
  </si>
  <si>
    <t>L2</t>
  </si>
  <si>
    <t>=&gt; gibt es eine eindeutige Lösung</t>
  </si>
  <si>
    <t xml:space="preserve">Der Rang der erweiterten Matrix ist 2 </t>
  </si>
  <si>
    <t>=&gt; 2 linear unabhängige Vektoren</t>
  </si>
  <si>
    <t>Die Dimension des Lösungsraumes ist 2</t>
  </si>
  <si>
    <t>Interpretation</t>
  </si>
  <si>
    <t>Weil man nach x1 und x2 auflösen kann</t>
  </si>
  <si>
    <t>a1</t>
  </si>
  <si>
    <t>a2</t>
  </si>
  <si>
    <t>b) Uneindeutige Lösung</t>
  </si>
  <si>
    <t>Es kann nicht weiter substituiert werden,</t>
  </si>
  <si>
    <t>da die Zeilen, mit denen es weitergehen müsste,</t>
  </si>
  <si>
    <t>aus 0en bestehen</t>
  </si>
  <si>
    <t>a1x</t>
  </si>
  <si>
    <t>a1y</t>
  </si>
  <si>
    <t>a1z</t>
  </si>
  <si>
    <t>a2x</t>
  </si>
  <si>
    <t>a2y</t>
  </si>
  <si>
    <t>a2z</t>
  </si>
  <si>
    <t>bx</t>
  </si>
  <si>
    <t>by</t>
  </si>
  <si>
    <t>bz</t>
  </si>
  <si>
    <t>=&gt; es gibt unendlich viele Lösungen</t>
  </si>
  <si>
    <t xml:space="preserve">Der Rang der erweiterten Matrix ist 1 </t>
  </si>
  <si>
    <t>=&gt; 1 linear unabhängiger Vektor</t>
  </si>
  <si>
    <t>Die Dimension des Lösungsraumes ist 1</t>
  </si>
  <si>
    <t>Weil a1 und a2 bereits abhängig sind (sie sind proportional)</t>
  </si>
  <si>
    <t>c) Keine Lösung</t>
  </si>
  <si>
    <t xml:space="preserve">=&gt; kann man x2 willkürlich wählen und erhält </t>
  </si>
  <si>
    <t>einen Wert für x1</t>
  </si>
  <si>
    <t>Weil in L3'' eine widersprüchliche Gleichung steht</t>
  </si>
  <si>
    <t>=&gt; ist das System inkonsistent</t>
  </si>
  <si>
    <t>=&gt; gibt es keine Lösung</t>
  </si>
  <si>
    <t xml:space="preserve">Der Rang der erweiterten Matrix ist 3 </t>
  </si>
  <si>
    <t xml:space="preserve">=&gt; es gibt in ihr 3 lua Vektoren </t>
  </si>
  <si>
    <t>Die Dimension des Lösungsraumes ist 3</t>
  </si>
  <si>
    <t>d) Facts zu Rang, Dimensionalität, linear unabhängige Vektoren (Beta Version)</t>
  </si>
  <si>
    <t>Hinweis: Rang vermutlich die Anzahl der Zeilen die mit Zahlen gefüllt sind.</t>
  </si>
  <si>
    <t xml:space="preserve">=&gt; Sind im linken Rahmen (Koeffizientenmatrix) und im linken+rechten Rahmen (erweiterte Matrix) gleich viele Zeilen mit Zahlen </t>
  </si>
  <si>
    <t>gefüllt, gibt es mindestens eine Lösung</t>
  </si>
  <si>
    <r>
      <t>Rang der Matrix</t>
    </r>
    <r>
      <rPr>
        <sz val="11"/>
        <rFont val="Calibri"/>
        <family val="2"/>
      </rPr>
      <t xml:space="preserve"> = Anzahl der in ihr enthaltenen linear unabhängiger Vektoren</t>
    </r>
  </si>
  <si>
    <t xml:space="preserve">Zeilenrang = Spaltenrang =&gt; es gibt also nur einen Rang &amp; es ist egal, ob man ihn zeilen- oder spaltenweise untersucht </t>
  </si>
  <si>
    <t>Regel 3.)</t>
  </si>
  <si>
    <t xml:space="preserve"> Es gibt einen Zusammenhang zwischen der Anzahl der Vektoren und der Dimensionalität (Dimension des Lösungsraumes)</t>
  </si>
  <si>
    <t>eindeutige Lösung</t>
  </si>
  <si>
    <t>uneindeutige Lösung (unendliche viele Lösungen)</t>
  </si>
  <si>
    <t xml:space="preserve">keine Lösung </t>
  </si>
  <si>
    <t>=&gt; 3 lua Vektoren</t>
  </si>
  <si>
    <t>=&gt; Dimension des Lösungsraumes = 3</t>
  </si>
  <si>
    <t>=&gt; Rang der erweiterten Matrix = 2</t>
  </si>
  <si>
    <t>=&gt; Rang der erweiterten Matrix = 1</t>
  </si>
  <si>
    <t>=&gt; Rang der erweiterten Matrix = 3</t>
  </si>
  <si>
    <t>Es gibt mindestens eine Lösung für die Linearkombination, genau dann wenn der Rang der erweiterten Matrix (A I b) 'gleich dem Rang der Koeffizientenmatrix A  ist.</t>
  </si>
  <si>
    <t xml:space="preserve">=&gt; man kann mit ihnen nur dadurch auf den </t>
  </si>
  <si>
    <t xml:space="preserve"> 3 Vektoren in eine andere Richtung</t>
  </si>
  <si>
    <t>in der Endlösung (letzte erweiterte Lösungsmatrix) zeigen alle</t>
  </si>
  <si>
    <t xml:space="preserve">Nullpunkt zeigen, indem man alle Koeffizienten 'x1, x2 = 0 setzt </t>
  </si>
  <si>
    <r>
      <rPr>
        <sz val="11"/>
        <color indexed="10"/>
        <rFont val="Calibri"/>
        <family val="2"/>
      </rPr>
      <t>Dimension des Vektorraumes</t>
    </r>
    <r>
      <rPr>
        <sz val="10"/>
        <rFont val="Arial"/>
      </rPr>
      <t xml:space="preserve"> = maximale Anzahl der lua Vektoren in diesem Vektorraum</t>
    </r>
  </si>
  <si>
    <t>Matrixmultiplikation</t>
  </si>
  <si>
    <t>1.) Matrizen sind definiert als "Zeile x Spalte" (n x m)</t>
  </si>
  <si>
    <t>=&gt; 1. Index Zeile</t>
  </si>
  <si>
    <t>=&gt; 2. Index Spalte</t>
  </si>
  <si>
    <t>A</t>
  </si>
  <si>
    <t>B</t>
  </si>
  <si>
    <t>C</t>
  </si>
  <si>
    <t>(2 x 2)</t>
  </si>
  <si>
    <t>(2 x 3)</t>
  </si>
  <si>
    <t>Regeln zur Matrixmultiplikation C = AB:</t>
  </si>
  <si>
    <t>1.) Anzahl der Spalten der linken Matrix muss gleich sein der Anzahl der Zeilen der rechten Matrix</t>
  </si>
  <si>
    <t xml:space="preserve">2.) Hat A die Dimension (k x n) und B die Dimension (n x m), so hat C die Dimension (k x m) </t>
  </si>
  <si>
    <r>
      <t>3.) Die Zielelemente in C (die c</t>
    </r>
    <r>
      <rPr>
        <vertAlign val="subscript"/>
        <sz val="11"/>
        <color indexed="8"/>
        <rFont val="Calibri"/>
        <family val="2"/>
      </rPr>
      <t>ij</t>
    </r>
    <r>
      <rPr>
        <sz val="10"/>
        <rFont val="Arial"/>
      </rPr>
      <t>) sind gegeben über das innere Produkt der i-ten Zeile von A mit der j-ten Spalte von B</t>
    </r>
  </si>
  <si>
    <t>a11</t>
  </si>
  <si>
    <t>a12</t>
  </si>
  <si>
    <t>a21</t>
  </si>
  <si>
    <t>a22</t>
  </si>
  <si>
    <t>b11</t>
  </si>
  <si>
    <t>b12</t>
  </si>
  <si>
    <t>b13</t>
  </si>
  <si>
    <t>b21</t>
  </si>
  <si>
    <t>b22</t>
  </si>
  <si>
    <t>b23</t>
  </si>
  <si>
    <t>c11</t>
  </si>
  <si>
    <t>c12</t>
  </si>
  <si>
    <t>c13</t>
  </si>
  <si>
    <t>c21</t>
  </si>
  <si>
    <t>c22</t>
  </si>
  <si>
    <t>c23</t>
  </si>
  <si>
    <t>a) Durchführung einer einfachen Matrixmultiplikation</t>
  </si>
  <si>
    <t>=&gt; Aufpassen wieder Matrix Befehl!!!</t>
  </si>
  <si>
    <t>b) Durchführung wenn Matrizen nicht zueinander passen</t>
  </si>
  <si>
    <t>(3 x 3)</t>
  </si>
  <si>
    <t>(4 x 3)</t>
  </si>
  <si>
    <t>Anzahl der Spalten in linker Matrix ist nicht gleich Anzahl der Zeilen in rechter  - deshalb transponieren!</t>
  </si>
  <si>
    <t>Danach multiplizieren</t>
  </si>
  <si>
    <t>Noch schneller mit =MMULT(A;MTRANS(B))</t>
  </si>
  <si>
    <t>W</t>
  </si>
  <si>
    <t>(2 x 4)</t>
  </si>
  <si>
    <t>(4 x 2)</t>
  </si>
  <si>
    <t>Innerprodukt Matrix (Matrix mit sich selbst multiplizieren)</t>
  </si>
  <si>
    <t>WT</t>
  </si>
  <si>
    <t>a) Produktmatrix 1</t>
  </si>
  <si>
    <t>C'</t>
  </si>
  <si>
    <t>(2 x 4) * (4 x 2) = (2 x 2)</t>
  </si>
  <si>
    <t xml:space="preserve">639 ist das innere Produkt der ersten Zeile von W mit sich selbst </t>
  </si>
  <si>
    <t>C' ist eine innere Produkt Matrix der Zeilen von W</t>
  </si>
  <si>
    <t>Auf der Diagonalen steht das Längenquadrat der Zeilenvektoren</t>
  </si>
  <si>
    <t>Hinweis</t>
  </si>
  <si>
    <r>
      <t>C' = W * W</t>
    </r>
    <r>
      <rPr>
        <b/>
        <vertAlign val="superscript"/>
        <sz val="11"/>
        <color indexed="8"/>
        <rFont val="Calibri"/>
        <family val="2"/>
      </rPr>
      <t>T</t>
    </r>
  </si>
  <si>
    <t>b) Produktmatrix 2</t>
  </si>
  <si>
    <r>
      <t>C'' =  W</t>
    </r>
    <r>
      <rPr>
        <vertAlign val="superscript"/>
        <sz val="11"/>
        <color indexed="8"/>
        <rFont val="Calibri"/>
        <family val="2"/>
      </rPr>
      <t xml:space="preserve">T </t>
    </r>
    <r>
      <rPr>
        <sz val="10"/>
        <rFont val="Arial"/>
      </rPr>
      <t>* W</t>
    </r>
  </si>
  <si>
    <t>C''</t>
  </si>
  <si>
    <t>(4 x 2) * (2 x 4)  = (4 x 4)</t>
  </si>
  <si>
    <t>C'' zeigt die inneren Produkte der Spalten von B (unnormierte innere Produktmatrix)</t>
  </si>
  <si>
    <t>Findet Verwendung in der Faktorenanalyse</t>
  </si>
  <si>
    <t>c) Zusammenfassung</t>
  </si>
  <si>
    <t>=&gt; Diese neuen Matrizen sind quadratisch und symmetrisch</t>
  </si>
  <si>
    <t xml:space="preserve">=&gt; Der Rang der beiden inneren Produktmatrizen ist gleich </t>
  </si>
  <si>
    <t>=&gt; In jeder Matrix (in W, WT, C' und C'') steht die gleiche Anzahl von linear unabhängigen Vektoren</t>
  </si>
  <si>
    <t xml:space="preserve">=&gt; Man untersucht lieber die inneren Produktmatrizen, statt der Ausgangsmatrizen, </t>
  </si>
  <si>
    <t>weil innere Produktmatrizen einfacher zu behandeln sind</t>
  </si>
  <si>
    <t>verified !! Rang der Matrix = Anzahl der in ihr enthaltenen lua Vektoren =&gt; Dimension des Vektorraums, die nötig ist, um alle in der Matrix enthaltenen Vektoren darstellen zu können</t>
  </si>
  <si>
    <t xml:space="preserve">verified !! </t>
  </si>
  <si>
    <t xml:space="preserve">Die Vektorgleichung A × X = B hat </t>
  </si>
  <si>
    <t>eine Lösung gdw die Koefﬁzientenmatrix A</t>
  </si>
  <si>
    <t xml:space="preserve">und die erweiterte Matrix (A, B) </t>
  </si>
  <si>
    <t>denselben Rang haben.</t>
  </si>
  <si>
    <t>Inverse Matrix</t>
  </si>
  <si>
    <t>Determinante</t>
  </si>
  <si>
    <t>=&gt; Die Anzahl der linear unabhängigen Vektoren ist in beiden inneren Produktmatrizen gleich &amp; sie ist gleich</t>
  </si>
  <si>
    <t>der Anzahl der linear unabhängigen Vektoren der Ausgangsmatrix</t>
  </si>
  <si>
    <t>Quadratische (und nur quadratische) Matrizen können eine sogenannte Inverse besitzen</t>
  </si>
  <si>
    <t xml:space="preserve">Inverse: </t>
  </si>
  <si>
    <t>Sei A n-quadratisch (eine n x n Matrix), dann gilt:</t>
  </si>
  <si>
    <r>
      <t>A * 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= I</t>
    </r>
  </si>
  <si>
    <t>I ist die Einheitsmatrix mit dem Muster:</t>
  </si>
  <si>
    <t>I</t>
  </si>
  <si>
    <r>
      <t>genau dann wenn, 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existiert</t>
    </r>
  </si>
  <si>
    <t>I ist das neutrale Element der Matrixmultiplikation</t>
  </si>
  <si>
    <t>A * I = I * A = A</t>
  </si>
  <si>
    <t>x</t>
  </si>
  <si>
    <t>A * x = b</t>
  </si>
  <si>
    <r>
      <t>x = 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* b</t>
    </r>
  </si>
  <si>
    <t>Probe</t>
  </si>
  <si>
    <t>b = A * x</t>
  </si>
  <si>
    <t>=&gt;</t>
  </si>
  <si>
    <t xml:space="preserve">Das Gleichungssystem ist eindeutig lösbar </t>
  </si>
  <si>
    <t>=&gt; Alle Spaltenvektoren (und Zeilenvektoren) in A sind linear unabhängig</t>
  </si>
  <si>
    <t xml:space="preserve">Quadratische Matrizen besitzen keine Inverse,genau dann wenn ihre Determinante = 0 ist </t>
  </si>
  <si>
    <t>=&gt; Ist die Determinante = 0, so sind die die in A enthaltenen Vektoren linear abhängig</t>
  </si>
  <si>
    <t>=&gt; Determinante ist gleich Abhängigkeitscheck</t>
  </si>
  <si>
    <t>(V | b)</t>
  </si>
  <si>
    <t>Die 3 Vektoren von V sind linear unabhängig</t>
  </si>
  <si>
    <t>(3 x 4)</t>
  </si>
  <si>
    <t>(4 x 4)</t>
  </si>
  <si>
    <t>=&gt; Dies ist nicht die Einheitsmatrix</t>
  </si>
  <si>
    <t>=&gt; Es existiert keine Inverse</t>
  </si>
  <si>
    <t>=&gt; Einheitsmatrix kann nicht berechnet werden</t>
  </si>
  <si>
    <t>Det</t>
  </si>
  <si>
    <t>=&gt; Die Zeilen und Spaltenvektoren sind linear unabhängig</t>
  </si>
  <si>
    <t xml:space="preserve">Die Inverse wird über die Determinante gefunden </t>
  </si>
  <si>
    <t>Determinanten können nur bei quadratischen Matrizen berechnet werden</t>
  </si>
  <si>
    <t>Die Determinante ist eine skalare Maßzahl der quadratischen Matrix, die etwas über ihre Eigenschaften aussagt</t>
  </si>
  <si>
    <t>=&gt; Ist die Determinante = 0, nennt man die zugehörige Matrix eine singuläre Matrix (weil sie eine Matrix ist, die keine Inverse hat)</t>
  </si>
  <si>
    <t>Eigenwerte und Eigenvektoren von n-quadratischen Matrizen</t>
  </si>
  <si>
    <r>
      <t xml:space="preserve">Finde Paare </t>
    </r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sodass gilt:</t>
    </r>
    <r>
      <rPr>
        <sz val="10"/>
        <rFont val="Symbol"/>
        <family val="1"/>
        <charset val="2"/>
      </rPr>
      <t xml:space="preserve"> </t>
    </r>
  </si>
  <si>
    <r>
      <t xml:space="preserve">A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l</t>
    </r>
    <r>
      <rPr>
        <sz val="10"/>
        <rFont val="Arial "/>
      </rPr>
      <t xml:space="preserve"> </t>
    </r>
    <r>
      <rPr>
        <b/>
        <sz val="10"/>
        <rFont val="Arial "/>
      </rPr>
      <t>v</t>
    </r>
  </si>
  <si>
    <t>(n x n) (n * 1) = (n *1)</t>
  </si>
  <si>
    <t>Eine n x n Matrix hat n Eigenwerte, die aber nicht alle reell sein müssen.</t>
  </si>
  <si>
    <t>Eine symmetrische n x n Matrix hat n reelle Eigenwerte. Die den Eigenwerten zugeordneten Eigenvektoren sind wechselseitig orthogonal</t>
  </si>
  <si>
    <r>
      <t>(Eigenwerte sind gegeben über die Nullstellen des Determinantenpolynoms der Matrix (A-</t>
    </r>
    <r>
      <rPr>
        <sz val="10"/>
        <rFont val="Symbol"/>
        <family val="1"/>
        <charset val="2"/>
      </rPr>
      <t>l</t>
    </r>
    <r>
      <rPr>
        <sz val="10"/>
        <rFont val="Arial "/>
      </rPr>
      <t xml:space="preserve"> * I))</t>
    </r>
  </si>
  <si>
    <t xml:space="preserve">=&gt; Charakteristische Gleichung einer Matrix </t>
  </si>
  <si>
    <t>In Statistica löst man diese linearen Gleichungen:</t>
  </si>
  <si>
    <t>a) Normalverteilte Zufallsvariablen in Statistica generieren (Bsp. 30 VPN und 5 Variablen)</t>
  </si>
  <si>
    <t>- Neu -&gt; Tabelle -&gt; 5 Variablen -&gt; 30 Fälle</t>
  </si>
  <si>
    <t>Var1</t>
  </si>
  <si>
    <t>Var2</t>
  </si>
  <si>
    <t>Var3</t>
  </si>
  <si>
    <t>Var4</t>
  </si>
  <si>
    <t>Var5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</si>
  <si>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</si>
  <si>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</si>
  <si>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</si>
  <si>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</si>
  <si>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</si>
  <si>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</si>
  <si>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</si>
  <si>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</si>
  <si>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</si>
  <si>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</si>
  <si>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</si>
  <si>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</si>
  <si>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</si>
  <si>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</si>
  <si>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</si>
  <si>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</si>
  <si>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</si>
  <si>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</si>
  <si>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</si>
  <si>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</si>
  <si>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</si>
  <si>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</si>
  <si>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</si>
  <si>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</si>
  <si>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</si>
  <si>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</si>
  <si>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</si>
  <si>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</si>
  <si>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</si>
  <si>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</si>
  <si>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- Mit Kopfzeile kopieren und in Excel einfügen</t>
  </si>
  <si>
    <t>- Mittelwert und Standardabweichung berechnen</t>
  </si>
  <si>
    <t>MW</t>
  </si>
  <si>
    <t>STD</t>
  </si>
  <si>
    <t>b) z-Standardisieren</t>
  </si>
  <si>
    <t>- (Wert-MW)/STD -&gt; Dollarzeichen vor Zeilen bei MW und STD</t>
  </si>
  <si>
    <t>c) Korrelationsmatrizen aus den z-Werten berechnen (einmal händisch und einmal Statistica)</t>
  </si>
  <si>
    <t>Händisch</t>
  </si>
  <si>
    <t>- Statistik -&gt; Explorative Verfahren -&gt; Faktorenanalyse</t>
  </si>
  <si>
    <t>- Variablen Alle</t>
  </si>
  <si>
    <t>- Minimaler Eigenwert = 0 und Faktorenanzahl so viele wie Variablen</t>
  </si>
  <si>
    <t>- Tabelle mit Kopfzeile kopieren und einfügen</t>
  </si>
  <si>
    <t xml:space="preserve"> Variable</t>
  </si>
  <si>
    <t>d) Eigenvektoren von R berechnen</t>
  </si>
  <si>
    <t>- Deskriptive Statistiken abbrechen -&gt; Standard -&gt; Zusammenfassung Faktorladung</t>
  </si>
  <si>
    <t>- Nur Variablen mit Kopfzeile kopieren und einfügen</t>
  </si>
  <si>
    <t>Faktor</t>
  </si>
  <si>
    <t>e) Eigenwerte berechnen (einmal Statistica und einmal händisch)</t>
  </si>
  <si>
    <t xml:space="preserve">- Standard -&gt; Eigenwerte </t>
  </si>
  <si>
    <t>- Eigenwertsspalte kopieren und einfügen</t>
  </si>
  <si>
    <t xml:space="preserve"> Wert</t>
  </si>
  <si>
    <t>Eigenwert</t>
  </si>
  <si>
    <t>=&gt; Das sind lambda 1-5</t>
  </si>
  <si>
    <t>=&gt; Diagonale sind die Eigenwerte (lambdas)</t>
  </si>
  <si>
    <t>=&gt; Diese Tabelle wird genutzt um zu überprüfen ob Eigenvektoren orthogonal sind</t>
  </si>
  <si>
    <t>=&gt; ergibt sich NUR eine Diagonale aus Werten ist das der Fall</t>
  </si>
  <si>
    <t>=&gt; Tauchen an einer anderen Stelle noch Werte auf, ist das nicht der Fall</t>
  </si>
  <si>
    <t>=&gt; Werte auf der Diagonalen sind der Vektor mit sich selbst multipliziert (Eigenwert)</t>
  </si>
  <si>
    <t xml:space="preserve">a) Beispiel für Matrix mit Inverser </t>
  </si>
  <si>
    <t>A-1</t>
  </si>
  <si>
    <t xml:space="preserve">Hinweis: </t>
  </si>
  <si>
    <t>Kommutativ, auch wenn die Multiplikation umgedreht wird kommt das gleiche heraus</t>
  </si>
  <si>
    <t xml:space="preserve">Um an die Unbekannte (x) zu kommen, kann man das Gleichungssystem unter </t>
  </si>
  <si>
    <t>Verwendung der Inversen umstellen</t>
  </si>
  <si>
    <t>unabhängig sind</t>
  </si>
  <si>
    <t xml:space="preserve">=&gt; Die Inverse existiert genau dann wenn alle Vektoren in A linear </t>
  </si>
  <si>
    <t>=&gt; Sind die Vektoren in A linear abhängig dann existiert keine Inverse</t>
  </si>
  <si>
    <t>b) Beispiel für keine Inverse: Bilde die quadratische Matrix (V | b)T (V | b) und untersuche ob sie eine Inverse besitzt</t>
  </si>
  <si>
    <r>
      <t>(V | b)</t>
    </r>
    <r>
      <rPr>
        <b/>
        <vertAlign val="superscript"/>
        <sz val="10"/>
        <color indexed="9"/>
        <rFont val="Arial"/>
        <family val="2"/>
      </rPr>
      <t>T</t>
    </r>
    <r>
      <rPr>
        <b/>
        <sz val="10"/>
        <color indexed="9"/>
        <rFont val="Arial"/>
        <family val="2"/>
      </rPr>
      <t xml:space="preserve"> (V | b)</t>
    </r>
  </si>
  <si>
    <r>
      <t>((V | b)</t>
    </r>
    <r>
      <rPr>
        <b/>
        <vertAlign val="superscript"/>
        <sz val="10"/>
        <color indexed="9"/>
        <rFont val="Arial"/>
        <family val="2"/>
      </rPr>
      <t>T</t>
    </r>
    <r>
      <rPr>
        <b/>
        <sz val="10"/>
        <color indexed="9"/>
        <rFont val="Arial"/>
        <family val="2"/>
      </rPr>
      <t xml:space="preserve"> (V | b))</t>
    </r>
    <r>
      <rPr>
        <b/>
        <vertAlign val="superscript"/>
        <sz val="10"/>
        <color indexed="9"/>
        <rFont val="Arial"/>
        <family val="2"/>
      </rPr>
      <t>-1</t>
    </r>
  </si>
  <si>
    <r>
      <t>(V | b)</t>
    </r>
    <r>
      <rPr>
        <b/>
        <vertAlign val="superscript"/>
        <sz val="10"/>
        <color indexed="9"/>
        <rFont val="Arial"/>
        <family val="2"/>
      </rPr>
      <t>T</t>
    </r>
  </si>
  <si>
    <t xml:space="preserve">Allerdings ist b von mindestens einem der in </t>
  </si>
  <si>
    <t>V enthaltenen Vektoren abhängig</t>
  </si>
  <si>
    <t>Hinweis:</t>
  </si>
  <si>
    <t>b) Beispiel für Matrix ohne Inverse</t>
  </si>
  <si>
    <r>
      <t>B</t>
    </r>
    <r>
      <rPr>
        <b/>
        <vertAlign val="superscript"/>
        <sz val="10"/>
        <color indexed="9"/>
        <rFont val="Arial"/>
        <family val="2"/>
      </rPr>
      <t>T</t>
    </r>
  </si>
  <si>
    <r>
      <t>A</t>
    </r>
    <r>
      <rPr>
        <b/>
        <vertAlign val="superscript"/>
        <sz val="10"/>
        <color indexed="9"/>
        <rFont val="Arial"/>
        <family val="2"/>
      </rPr>
      <t>-1</t>
    </r>
  </si>
  <si>
    <t>=&gt; Determinante ≠ 0, dementsprechend existiert eine Inverse</t>
  </si>
  <si>
    <t>=&gt; Determinante = 0, dementsprechend existiert keine Inverse</t>
  </si>
  <si>
    <t>=&gt; Die Zeilen und Spaltenvektoren sind linear abhängig</t>
  </si>
  <si>
    <t xml:space="preserve">- Variablen umbenennen und unten unter LangerName Befehl =RndNormal(1) -&gt; 1 steht für </t>
  </si>
  <si>
    <t>Standardabweichung (MW ist Standard 0)</t>
  </si>
  <si>
    <t>- Deskriptive Statistiken -&gt; Korrelationen, Mittelwerte, Standardabweichungen</t>
  </si>
  <si>
    <t>-&gt; Korrelationen</t>
  </si>
  <si>
    <t>R = 1/N * ZT * Z</t>
  </si>
  <si>
    <t>Korrelationen (Tabelle1)
Fallw. Ausschluss von MD
N=30</t>
  </si>
  <si>
    <t>Faktorladungen (Unrotiert) (Tabelle1)
Extraktion: Hauptkomponenten
(Markierte Ladungen &gt;,700000)</t>
  </si>
  <si>
    <t xml:space="preserve">Durchführung </t>
  </si>
  <si>
    <t>Eigenwerte</t>
  </si>
  <si>
    <t>VpNr</t>
  </si>
  <si>
    <t>Gehalt</t>
  </si>
  <si>
    <t>Entscheid</t>
  </si>
  <si>
    <t>QualKomm</t>
  </si>
  <si>
    <t>Ehe</t>
  </si>
  <si>
    <t>Freunde</t>
  </si>
  <si>
    <t>Sex</t>
  </si>
  <si>
    <t>Anspruch</t>
  </si>
  <si>
    <t>Sinn</t>
  </si>
  <si>
    <t>Hobby</t>
  </si>
  <si>
    <t>Fitness</t>
  </si>
  <si>
    <t>SD</t>
  </si>
  <si>
    <t>N</t>
  </si>
  <si>
    <t>-&gt; Neu -&gt; Tabelle erstellen -&gt; Variablenanzahl und Fälle eintragen -&gt; Rohdaten aus Excel einkopieren</t>
  </si>
  <si>
    <t>Faktor 1</t>
  </si>
  <si>
    <t>-&gt; Statistik -&gt; Explorative Faktorenanalyse -&gt; Variablen alle</t>
  </si>
  <si>
    <t>-&gt; Maximale Faktorenanzahl = Variablenanzahl -&gt; Eigenwert = 0</t>
  </si>
  <si>
    <t>-&gt; Eigenwerte -&gt; 1. Spalte kopieren und in Excel einfügen -&gt; Das sind die Eigenvektoren</t>
  </si>
  <si>
    <t>-&gt; Summe der Eigenwerte berechnen (Da kommt Anzahl der Variablen heraus)</t>
  </si>
  <si>
    <t>Summe</t>
  </si>
  <si>
    <t>Faktor 2</t>
  </si>
  <si>
    <t>Faktor 3</t>
  </si>
  <si>
    <t>Faktor 4</t>
  </si>
  <si>
    <t>Faktor 5</t>
  </si>
  <si>
    <t>Faktor 6</t>
  </si>
  <si>
    <t>Faktor 7</t>
  </si>
  <si>
    <t>Faktor 8</t>
  </si>
  <si>
    <t>Faktor 9</t>
  </si>
  <si>
    <t>Faktor 10</t>
  </si>
  <si>
    <t>-&gt; Einfügen -&gt; Liniendiagramm mit Punkten -&gt; Eigenwerte einfügen</t>
  </si>
  <si>
    <t>-&gt; Statistica -&gt; Faktorenanalyse -&gt; Ladungen -&gt; Zus. Faktorladungen -&gt; In Excel einfügen</t>
  </si>
  <si>
    <t>Var6</t>
  </si>
  <si>
    <t>Var7</t>
  </si>
  <si>
    <t>Var8</t>
  </si>
  <si>
    <t>Var9</t>
  </si>
  <si>
    <t>Var10</t>
  </si>
  <si>
    <t>Kommunalität</t>
  </si>
  <si>
    <t>-&gt; Kommunalität berechnen als Quadratsumme der Zeile</t>
  </si>
  <si>
    <t>-&gt; Summe der Erkl. Var und Ant. Ges. berechnen</t>
  </si>
  <si>
    <t>Erkl.Var (Erklärte Varianz)</t>
  </si>
  <si>
    <t>Ant.Ges. (Anteil Gesamtvarianz)</t>
  </si>
  <si>
    <t>Das ist die Anzahl der Variablen (Muss die Anzahl der Variablen ergeben)</t>
  </si>
  <si>
    <t>-&gt; Diagonale sind wieder die Eigenwerte (Lambdas) - Der Rest muss Null sein!!!!</t>
  </si>
  <si>
    <t>-&gt; Hierzu gleiche Anzahl an Variablen und Fällen mit normalverteilten Zufallszahlen in Statistica erstellen</t>
  </si>
  <si>
    <t>-&gt; Daten aus Statistica kopieren und in Excel einfügen</t>
  </si>
  <si>
    <t>-&gt; Korrelationsmatrix kopieren und in Excel einfügen</t>
  </si>
  <si>
    <t xml:space="preserve">-&gt; Statistica -&gt; Faktorenanalyse -&gt; Deskriptive Statistik abbrechen -&gt; Standard -&gt; Eigenwerte </t>
  </si>
  <si>
    <t>-&gt; Erste Spalte in Excel einfügen</t>
  </si>
  <si>
    <t>-&gt; Rechtsklick Daten auswählen -&gt; Eigenwerte hinzufügen</t>
  </si>
  <si>
    <t>-&gt; Eigenwerte über Diagonalen werden als Faktoren aufgenommen.</t>
  </si>
  <si>
    <t>SSCP(x)</t>
  </si>
  <si>
    <t>SSCP(Mu)</t>
  </si>
  <si>
    <t>SSCP(SD)</t>
  </si>
  <si>
    <t>SSCP = Sum of Squares of Cross Products</t>
  </si>
  <si>
    <t>SSCP(Covarianz)</t>
  </si>
  <si>
    <t>Korrelation</t>
  </si>
  <si>
    <t>-&gt; Matrixdivision von SSCP(Covarianz)/SSCP(SD)</t>
  </si>
  <si>
    <t>-&gt; Matrixsubtraktion von SSCP(x)/N-SSCP(Mü)</t>
  </si>
  <si>
    <t>Zum Vergleich aus vorheriger Aufgabe:</t>
  </si>
  <si>
    <t>-&gt; Diese wurde durch z-Standardisierung berechnet</t>
  </si>
  <si>
    <t>Faktorenanalyse</t>
  </si>
  <si>
    <t>Rohdaten - verschiedene Items auf denen Probanden Werte abgegeben haben oder Werte für die Probanden erhoben wurden.</t>
  </si>
  <si>
    <t>a)  Mittelwert und Standardabweichung (STABW.N) berechnen (Mü als Zeilenvektor bennen, SD als Zeilenvektor benennen)</t>
  </si>
  <si>
    <t>b)  Rohdaten z- Standardisieren ((X-MÜ)/SD) - Zeilen von MÜ und SD mit Dollarzeichen festsetzen -&gt; z-Standardisierung dient der Erstellung der Korrelationsmatrix</t>
  </si>
  <si>
    <t>nicht 0 werden, da dann Vektoren voneinander abhängig sind</t>
  </si>
  <si>
    <r>
      <t>c) Korrelationsmatrix R berechnen -&gt; R = 1/N * Z</t>
    </r>
    <r>
      <rPr>
        <vertAlign val="superscript"/>
        <sz val="10"/>
        <rFont val="Arial"/>
        <family val="2"/>
      </rPr>
      <t>T</t>
    </r>
    <r>
      <rPr>
        <sz val="10"/>
        <rFont val="Arial"/>
      </rPr>
      <t>*Z -&gt; Determinante berechnen, wenn eine Korrelation 1 ist sind mindestens zwei der Variablen abhängig voneinander. Determinante sollte</t>
    </r>
  </si>
  <si>
    <t>d) Inverse der Korrelationsmatrix</t>
  </si>
  <si>
    <t xml:space="preserve">KORRELATIONSMATRIX IST ZUR BERECHNUNG DER FAKTORANALYSE EIGENTLICH UNWICHTIG, DA ALLE WEITEREN SCHRITTE IN </t>
  </si>
  <si>
    <t>STATISTICA</t>
  </si>
  <si>
    <t xml:space="preserve">d) Eigenvektoren über Statistica </t>
  </si>
  <si>
    <t>e) Screeplot in Excel</t>
  </si>
  <si>
    <t>f) Ladungsmatrix B berechnen mit Statitistica</t>
  </si>
  <si>
    <t>berechnen (Erkl. Var.), bzw. als Anteil an der Summe der erklärten Varianz (Erkl. Varianz/Summe Erkl. Var = Ant. Ges.)</t>
  </si>
  <si>
    <t xml:space="preserve">-&gt; Erklärte Varianz und Anteil der Gesamtvarianz kann man mit rauskopiren, lassen sich aber auch über die Quadratesummen der Spalten </t>
  </si>
  <si>
    <t>g)  Lambda Matrix berechnen</t>
  </si>
  <si>
    <t>-&gt; LadungsmatrixT x Ladungsmatrix</t>
  </si>
  <si>
    <t>h) Cattell Eigenwertskriterium ergänzen (Zweck: Anzahl der validen Faktoren feststellen)</t>
  </si>
  <si>
    <t>-&gt; Neu -&gt; Tabelle erstellen -&gt; Variablen und Fälle eintragen -&gt; Doppeklick auf Variablenname -&gt; Bei langer Name =RndNormal(1) eintragen</t>
  </si>
  <si>
    <t>(Mit Doppelpfeil kann man zwischen Variablen hin und herspringen)</t>
  </si>
  <si>
    <t>i) Korrelationsmatrix aus Statistica</t>
  </si>
  <si>
    <t xml:space="preserve">-&gt; Statistik -&gt; Explorative Verfahren -&gt; Faktorenanalyse -&gt; Variablen Alle -&gt; Faktorenzahl und Eigenwert wie oben -&gt; Desk. Statistik </t>
  </si>
  <si>
    <t>-&gt; Korrelationen, Mittelwerte, Standardabweichungen -&gt; Korrelationen</t>
  </si>
  <si>
    <t xml:space="preserve">-&gt; Korrelation darf nicht größer sein, als der kritische Wert (gemessen an der T-Verteilung). Sonst sind die Korrelationen überzufällig - Nicht </t>
  </si>
  <si>
    <t>mehr allein vom Messfehler abhängig</t>
  </si>
  <si>
    <t>j) Eigenwerte der Zufallszahlen bestimmen</t>
  </si>
  <si>
    <t>k) Eigenwerte im Scree Plot ergänzen</t>
  </si>
  <si>
    <t>Kreuzproduktmatrizen</t>
  </si>
  <si>
    <t>a) Mittelwert und Standardabweichung (STABW.N) berechnen (Mü als Zeilenvektor bennen, SD als Zeilenvektor benennen)</t>
  </si>
  <si>
    <t>b) Kreuzproduktmatrix SSCP(x) berechnen</t>
  </si>
  <si>
    <t>-&gt; Matrixmultiplikation der Transponierten Rohdaten mit sich selbst (RohdatenT x Rohdaten)</t>
  </si>
  <si>
    <t xml:space="preserve">c) Kreuzproduktmatrix von Mü und Sigma </t>
  </si>
  <si>
    <t>-&gt; Matrixmultiplikation der Transponierten Müs mit Mü (MüT x Mü)</t>
  </si>
  <si>
    <t>-&gt; Matrixmultiplikation der Transponierten SDs mit SDs (SDT x SD)</t>
  </si>
  <si>
    <t xml:space="preserve">d) Varianz Kovarianz Matrix berechnen </t>
  </si>
  <si>
    <t>e) Korrelationsmatrix berechnen</t>
  </si>
  <si>
    <t>(Ladungsmatrix = B-Matrix)</t>
  </si>
  <si>
    <t>k) Faktorlösung bewerten - reduzierte Ladungsmatrix erstellen. Vorhergende Ladungsmatrix mit extrahierten Faktoren kopieren. UNROTIERTE LÖSUNG</t>
  </si>
  <si>
    <t>RH</t>
  </si>
  <si>
    <t>Re = R - RH</t>
  </si>
  <si>
    <t>df</t>
  </si>
  <si>
    <t>t0</t>
  </si>
  <si>
    <t>r0</t>
  </si>
  <si>
    <t>Die T-Formel nach r aufgelöst</t>
  </si>
  <si>
    <t>(nach der kritischen Korrelation)</t>
  </si>
  <si>
    <t>Re &gt; r0</t>
  </si>
  <si>
    <t>Diagonale sind die Kommunalitäten</t>
  </si>
  <si>
    <t>Wenn Abweichungen nur auf der Diagonalen auftreten ist das nicht schlimm</t>
  </si>
  <si>
    <t>In unserem Fall sind viele Residualkorrelationen signifikant, das bedeutet dass die 2 Faktoren Lösung nicht gut ist, da viele Re größer als r0 sind</t>
  </si>
  <si>
    <t>-&gt; Statistik -&gt; Explorative Verfahren -&gt; Faktorenanalyse -&gt; Eigenwert 0 -&gt; Faktorenzahl 10</t>
  </si>
  <si>
    <t>-&gt; Ladungen -&gt; 2D Faktorladungen -&gt; In Excel kopieren</t>
  </si>
  <si>
    <t>-&gt; Statistik -&gt; Explorative Verfahren -&gt; Faktorenanalyse -&gt; Eigenwert 0 -&gt; Anzahl Faktoren = Anzahl reduziertet Faktoren (hier 2)</t>
  </si>
  <si>
    <t>Erkl.Var</t>
  </si>
  <si>
    <t>Ant.Ges.</t>
  </si>
  <si>
    <t>Kommunalitäten</t>
  </si>
  <si>
    <t>Transformation</t>
  </si>
  <si>
    <t>Nice to Know: Wie funktioniert Rotation - In Excel nur möglich bei 2 Faktoren</t>
  </si>
  <si>
    <t>Dreh/Spiegel</t>
  </si>
  <si>
    <t>Drehmatrix</t>
  </si>
  <si>
    <t>Spiegelmatrix</t>
  </si>
  <si>
    <t>Durch Ändern der Gradzahl/Phi Transformationswinkel kann man nun die Lösung weiterrotieren und sehen wie sich das Ergebnis verändert.</t>
  </si>
  <si>
    <t>F1</t>
  </si>
  <si>
    <t>F2</t>
  </si>
  <si>
    <t>In dieser Matrix steht nun wie hoch die Variablen auf jedem Faktor laden in der unrotierten Lösung</t>
  </si>
  <si>
    <t>Dem Faktor, auf dem die höhere Ladung erzielt wird, sollte die Variable zugeschrieben werden.</t>
  </si>
  <si>
    <t>Korrelationen der Faktorwerte</t>
  </si>
  <si>
    <t>Es muss immer 0 und 1 rauskommen</t>
  </si>
  <si>
    <t>Es muss eine Einheitsmatrix rauskommen, sonst ist was falsch gelaufen!!!!!!!!</t>
  </si>
  <si>
    <t>F = Z P</t>
  </si>
  <si>
    <t>Das hier ist die unrotierte Lösung mit zwei Faktoren</t>
  </si>
  <si>
    <t>Das hier sind die FaktorScores für die unrotierte Lösung</t>
  </si>
  <si>
    <t>Das hier ist die rotierte Lösung mit zwei Faktoren</t>
  </si>
  <si>
    <t>Das hier sind die FaktorScores für die rotierte Lösung</t>
  </si>
  <si>
    <t>l) Reproduzierte Korrelationsmatrix erstellen - Diagonale entspricht Kommunalitäten</t>
  </si>
  <si>
    <t>m) Residualkorrelationen berechnen - diese muss jetzt untersucht werden</t>
  </si>
  <si>
    <t>n) T-Test kritischer r-Grenzen durchführen</t>
  </si>
  <si>
    <t>Hier ist Platz für das Diagramm!</t>
  </si>
  <si>
    <t xml:space="preserve">p) Varimax rotierte Lösung in Statistica </t>
  </si>
  <si>
    <t>o) 2D Faktorlösung in Statistica erstellen</t>
  </si>
  <si>
    <r>
      <t xml:space="preserve">-&gt; Ladungen -&gt; Zusammenfassung Faktorladungen und 2D Faktorladungen in Excel kopieren -&gt; </t>
    </r>
    <r>
      <rPr>
        <b/>
        <sz val="10"/>
        <color indexed="10"/>
        <rFont val="Arial"/>
        <family val="2"/>
      </rPr>
      <t>Dropdown auf Varimax Standardisiert</t>
    </r>
  </si>
  <si>
    <t xml:space="preserve">Bei 0 Grad/Phi Transformationswinkel entspricht die Lösung exakt der rotierten Lösung von Statistica (Da die Statistica Daten </t>
  </si>
  <si>
    <t>als Ausgangsdaten fungieren) - Hier sind die Anteile der erklärten Varianz an der Gesamtvarianz am ähnlichsten</t>
  </si>
  <si>
    <t>q) Faktor-Scores über multiple Regression bestimmen - zuerst unrotierte Lösung</t>
  </si>
  <si>
    <t>P = R-1 B</t>
  </si>
  <si>
    <t>r) Faktor-Scores über multiple Regression bestimmen - jetzt rotierte Lösung</t>
  </si>
  <si>
    <t>Mahalanobis Distanz</t>
  </si>
  <si>
    <t>v</t>
  </si>
  <si>
    <t>µ</t>
  </si>
  <si>
    <t>d</t>
  </si>
  <si>
    <t>x1</t>
  </si>
  <si>
    <t>x2</t>
  </si>
  <si>
    <t>Euklidische Länge:</t>
  </si>
  <si>
    <t>Mahalanobisdistanz:</t>
  </si>
  <si>
    <t>Distanzvektor</t>
  </si>
  <si>
    <t>Cov</t>
  </si>
  <si>
    <t>R</t>
  </si>
  <si>
    <t>var1</t>
  </si>
  <si>
    <t>cov12</t>
  </si>
  <si>
    <t>var2</t>
  </si>
  <si>
    <t>Erwartungswert Vektor</t>
  </si>
  <si>
    <t>Mahalanobisdistanz²:</t>
  </si>
  <si>
    <t>Quadrierte Mahalanobisdistanz</t>
  </si>
  <si>
    <t>Der berechnete Wert ist ein Skalar und keine Matrix</t>
  </si>
  <si>
    <t>u</t>
  </si>
  <si>
    <t>Man Sieht v und u haben die gleiche euklidische Distanz,</t>
  </si>
  <si>
    <t>Das liegt daran, dass sie korreliert sind.</t>
  </si>
  <si>
    <t>aber nicht die gleiche Mahalanobisdistanz.</t>
  </si>
  <si>
    <t>a) Varianz- Covarianz Matrix berechnen. Im Messraum x1, x2 gibt es die Varianz-Covarianzmatrix:</t>
  </si>
  <si>
    <t>In die MMULT Formel können nicht drei Matrizen gleichzeitig.</t>
  </si>
  <si>
    <t>--&gt; Verkettung von zwei MMULT Formeln</t>
  </si>
  <si>
    <t xml:space="preserve">Nur wenn die beiden Variablen unkorreliert sind, also in </t>
  </si>
  <si>
    <t>der Cov-Matrix für Cov12=0 steht, ist die Mahalanobis</t>
  </si>
  <si>
    <t>Distanz gleich</t>
  </si>
  <si>
    <t>Nice to Know: Die Mahalanobis Distanz ist Chi² verteilt, wenn die Ausgangsdaten</t>
  </si>
  <si>
    <t>multivariat normalverteilt sind.</t>
  </si>
  <si>
    <t>Univariate Normalverteilungsprüfungn durch QQ-Plot</t>
  </si>
  <si>
    <t>Durchführung:</t>
  </si>
  <si>
    <t>-&gt; Rohdaten kopieren, woanders einfügen</t>
  </si>
  <si>
    <t>-&gt; In Excel: Daten markieren - Reiter Daten - Sortieren - Sortieren nach x</t>
  </si>
  <si>
    <t>-&gt; Daten sind aufsteigend sortiert und VPN zugeordnet</t>
  </si>
  <si>
    <t>b) z-Standardisieren der Rohdaten.</t>
  </si>
  <si>
    <t>-&gt; Jeden Wert minus den Mittelwert und geteilt durch SD - (x-µ)/SD</t>
  </si>
  <si>
    <t>z1</t>
  </si>
  <si>
    <t>a) Die Daten den Werten nach aufsteigend sortieren und MW und SD berechnen.</t>
  </si>
  <si>
    <t>-&gt; Mittelwert und SD berechnen (STABW.N)</t>
  </si>
  <si>
    <t>-&gt; Zur Kontrolle MW und SD berechnen</t>
  </si>
  <si>
    <t>-&gt; N berechnen (ANZAHL2)</t>
  </si>
  <si>
    <t>-&gt; Erwartete Quantile berechnen - (VPNr-0,5)/N</t>
  </si>
  <si>
    <t>p(NV)</t>
  </si>
  <si>
    <t>c) Berechnung der erwarteten Quantile, wenn Daten normalverteilt wären.</t>
  </si>
  <si>
    <t>d) Erwartete z-Werte berechnen, wenn die Daten normalverteilt wären.</t>
  </si>
  <si>
    <t>z(NV)</t>
  </si>
  <si>
    <t>-&gt; NORM.S.INV für die erwarteten Quantile</t>
  </si>
  <si>
    <t>-&gt; Jetzt haben wir theoretische Z-Werte, die normalverteilt sind</t>
  </si>
  <si>
    <t>e) Theoretische z-Werte gegen beobachtete plotten. Dabei sollte Diagonele entstehen, wenn Daten normalverteilt sind.</t>
  </si>
  <si>
    <t>-&gt; Einfügen, Punktediagramm, Rechtsklick Daten auswählen</t>
  </si>
  <si>
    <t>Werte der Reihe Y = z1 (aus Schritt b)</t>
  </si>
  <si>
    <t>-&gt; Oben links auf Hinzufügen, Reihenname QQ Plot, Werte der Reihe X = z(NV) (aus Schritt d)</t>
  </si>
  <si>
    <t xml:space="preserve">-&gt; Diagonale einfügen über erneut auf Hinzufügen klicken, Reihenname Ideal, Werte der Reihe </t>
  </si>
  <si>
    <t>X = z(NV) und Werte der Reihe Y = z(NV) (beide aus Schritt d)</t>
  </si>
  <si>
    <t xml:space="preserve">-&gt; Doppelklick auf rote Punkte, und dann einfarbige Linie auswählen (ggf. rot einfärben und </t>
  </si>
  <si>
    <t>Punkte entfernen)</t>
  </si>
  <si>
    <t>Optional:</t>
  </si>
  <si>
    <t>-&gt; Veranschaulichung der empirischen Verteilungsfunktion</t>
  </si>
  <si>
    <t>über ein Punktediagramm</t>
  </si>
  <si>
    <t>-&gt; Excel einfügen, Punktdiagramm, Rechtsklick Datena auswählen,</t>
  </si>
  <si>
    <t>Oben links hinzufügen, Werte der Reihe X = z1 (aus b), Werte der</t>
  </si>
  <si>
    <t>Reihe Y=p(NV) (aus c)</t>
  </si>
  <si>
    <t>-&gt; Ideallinie ergänzen, auch wieder auf hinzufügen, Werte der Reihe</t>
  </si>
  <si>
    <t>X = z(NV) (aus d), Werte der Reihe Y=p(NV) (aus c)</t>
  </si>
  <si>
    <t>-&gt; Doppelklick auf rote Punkte, einfarbige Linie (ggf. einfärben und</t>
  </si>
  <si>
    <t>f) Korrelation aus theoretischen z-Werten und beobachteten z-Werten berechnen (QQ-Korrelation)</t>
  </si>
  <si>
    <t>Bewertung:</t>
  </si>
  <si>
    <t xml:space="preserve">Bewertung anhand der Tabelle kritischer Korrelationen. </t>
  </si>
  <si>
    <t>Auf 0,01 Niveau noch nicht kritisch ab 0,05 allerdings schon.</t>
  </si>
  <si>
    <t>g) Gegebenenfalls neue Korrelation ohne Ausreißer.</t>
  </si>
  <si>
    <t>R (ohne Ausreißer)</t>
  </si>
  <si>
    <t>-&gt; Normalverteilungsannahme ablehnen</t>
  </si>
  <si>
    <t>Ausreißer ist in diesem Fall der letzte Wert in den sortierten Daten</t>
  </si>
  <si>
    <t>Ohne diesen steigt die Korrelation auf 0,99 an.</t>
  </si>
  <si>
    <t>Damit ist die Korrelation selbst auf 0,1 - Niveau nicht mehr kritisch.</t>
  </si>
  <si>
    <t>Multivariate Normalverteilungsprüfung durch QQ-Plot &amp; Mahalanobisdistanz</t>
  </si>
  <si>
    <t xml:space="preserve">Bei einer Variable ist die Bewertung der Normalverteilung einfach, da man einfach z-Werte gegen theoretische z-Werte </t>
  </si>
  <si>
    <t>plotten kann.</t>
  </si>
  <si>
    <t>Bei mehreren Variablen muss erst ein "Schwerpunkt" gebildet werden um diesen zu plotten (komplizierte Berechnung -</t>
  </si>
  <si>
    <t>Mahalanobis Distanz)</t>
  </si>
  <si>
    <t>Danach wird das Ergebnis genauso geplottet wie bei einer Variable.</t>
  </si>
  <si>
    <t>x3</t>
  </si>
  <si>
    <t>x4</t>
  </si>
  <si>
    <t>b) Berechnung der z-Werte für alle Variablen.</t>
  </si>
  <si>
    <t>c1) SSCPs für x-Werte berechnen</t>
  </si>
  <si>
    <t>c2) SSCPs für z-Daten berechnen.</t>
  </si>
  <si>
    <t>z2</t>
  </si>
  <si>
    <t>z3</t>
  </si>
  <si>
    <t>z4</t>
  </si>
  <si>
    <t>SSCP(z)</t>
  </si>
  <si>
    <t>SSCP(µ_x)</t>
  </si>
  <si>
    <t>SSCP(µ_z)</t>
  </si>
  <si>
    <t>Cov_x</t>
  </si>
  <si>
    <t>Cov_z</t>
  </si>
  <si>
    <t>a) Anzahl, Mittelwert und Standardabweichung für jede Variable berechnen.</t>
  </si>
  <si>
    <t>Covarianz Matrix bei z-Daten ist gleich der Korrelationsmatrix bei Rohdaten</t>
  </si>
  <si>
    <t>SSCP(SD_x)</t>
  </si>
  <si>
    <t>Die SSCP SD_z ist nicht notwendig, da sie sowieso 1 wäre und wir keine</t>
  </si>
  <si>
    <t>Korrelationsmatrix mehr berechnen müssen</t>
  </si>
  <si>
    <t>Diese ist ja schon durch die Covarianzmatrix der z-Daten gegeben.</t>
  </si>
  <si>
    <t>d1) Mahalanobisdistanz für Rohdaten berechnen</t>
  </si>
  <si>
    <t>d2) Mahalanobisdistanz für z-Werte berechnen</t>
  </si>
  <si>
    <t>M-Distanz(x)</t>
  </si>
  <si>
    <t>M-Distanz(z)</t>
  </si>
  <si>
    <t>Bei der Anwendung der Formel hier, werden die letzten beiden Vektoren transponiert und nicht die ersten beiden, da</t>
  </si>
  <si>
    <t>wir hier mit Zeilenvektoren arbeiten und sich die obenstehende Formel auf Spaltenvektoren bezieht.</t>
  </si>
  <si>
    <t xml:space="preserve">Für z-Daten kann man das subtrahieren des µ-Vektors </t>
  </si>
  <si>
    <t>weglassen, da dieser ja sowieso 0 ist.</t>
  </si>
  <si>
    <t>Interpretation:</t>
  </si>
  <si>
    <t>Mahalanobisdistanz der z-Werte ist identisch mit der der x-Werte, weil die z-Werte eine lineare Transformation</t>
  </si>
  <si>
    <t>der x-Werte sind.</t>
  </si>
  <si>
    <t>Die Mahalanobisdistanz lässt sich mit den z-Werten einfacher berechnen (die Excel Formel ist dann nicht</t>
  </si>
  <si>
    <t>mehr so kompliziert und umfangreich).</t>
  </si>
  <si>
    <r>
      <t>Cov</t>
    </r>
    <r>
      <rPr>
        <b/>
        <vertAlign val="superscript"/>
        <sz val="10"/>
        <color indexed="9"/>
        <rFont val="Arial"/>
        <family val="2"/>
      </rPr>
      <t>-1</t>
    </r>
  </si>
  <si>
    <r>
      <t>Cov</t>
    </r>
    <r>
      <rPr>
        <b/>
        <vertAlign val="superscript"/>
        <sz val="10"/>
        <color indexed="9"/>
        <rFont val="Arial"/>
        <family val="2"/>
      </rPr>
      <t>-1</t>
    </r>
    <r>
      <rPr>
        <b/>
        <sz val="10"/>
        <color indexed="9"/>
        <rFont val="Arial"/>
        <family val="2"/>
      </rPr>
      <t>(x)</t>
    </r>
  </si>
  <si>
    <r>
      <t>Cov</t>
    </r>
    <r>
      <rPr>
        <b/>
        <vertAlign val="superscript"/>
        <sz val="10"/>
        <color indexed="9"/>
        <rFont val="Arial"/>
        <family val="2"/>
      </rPr>
      <t>-1</t>
    </r>
    <r>
      <rPr>
        <b/>
        <sz val="10"/>
        <color indexed="9"/>
        <rFont val="Arial"/>
        <family val="2"/>
      </rPr>
      <t>(z)</t>
    </r>
  </si>
  <si>
    <t>e) Mahalanobis-Distanz-Werte aufsteigend sortieren</t>
  </si>
  <si>
    <t>f) p-Werte berechnen für theoretisch zu erwartende Werte unter NV.</t>
  </si>
  <si>
    <t>p</t>
  </si>
  <si>
    <t>g) Chi² Werte berechnen.</t>
  </si>
  <si>
    <t>Chi²</t>
  </si>
  <si>
    <t xml:space="preserve">df = Anzahl der Variablen </t>
  </si>
  <si>
    <t>h) QQ-Plot erstellen</t>
  </si>
  <si>
    <t>-&gt; Maximum der X- und Y-Achse anschauen und mit Doppelklick auf die Achse angleichen. Hauptintervalle ebenfalls angleichen</t>
  </si>
  <si>
    <t>-&gt; Theoretische Winkelhalbierende einfügen: Zwei Werte untereinander schreiben (Minimum und Maximum der Achse)</t>
  </si>
  <si>
    <t>Winkelhalbierende</t>
  </si>
  <si>
    <t>Nochmal Daten einfügen, Werte der Reihe X= Minimum und Maximum, Werte der Reihe Y ebenso</t>
  </si>
  <si>
    <t>-&gt; Doppelklick auf die roten Punkte, Farbeimer, einfarbige Linie einfügen (ggf Punkte entfernen und einfärben)</t>
  </si>
  <si>
    <t>-&gt; Einfügen, Punktdiagramm, Daten auswählen, Hinzufügen, X-Achse = Chi² Werte, Y-Achse = sortierte M-Distanz Werte.</t>
  </si>
  <si>
    <t>f) Korrelation aus theoretischen Chi² Werten und beobachteten M-Distanzen berechnen (QQ-Korrelation)</t>
  </si>
  <si>
    <t>In diesem Fall auf 0,1 Niveau nicht kritisch, allerdings im Diagramm einige Ausreißer zu erkennen, deshalb</t>
  </si>
  <si>
    <t>würde man diese entfernen</t>
  </si>
  <si>
    <t>Wichtig: Nach dem entfernen von einem Ausreißer muss die komplette Analyse erneut durchgeführt werden.</t>
  </si>
  <si>
    <t>Also würde man die Rohdatentabelle kopieren und einen Wert herauslöschen (nämlich den Ausreißer) und dann</t>
  </si>
  <si>
    <t>SSCPS bzw. z-Werte erneut berechnen bis man wieder zum QQ Plot kommt.</t>
  </si>
  <si>
    <t>Ausreißer erkennt man in der nach der M-Distanz sortierten Tabelle, da diese immer die höchsten Werte sind.</t>
  </si>
  <si>
    <t>Minimum Distance Classifier</t>
  </si>
  <si>
    <t>Classified as</t>
  </si>
  <si>
    <t>risk</t>
  </si>
  <si>
    <t>ill</t>
  </si>
  <si>
    <t>normal</t>
  </si>
  <si>
    <t>Case is</t>
  </si>
  <si>
    <t>N_cases</t>
  </si>
  <si>
    <t>X_0 (Treffer)</t>
  </si>
  <si>
    <t>&gt; dafür braucht man ein Benchmark &gt; erwartete Trefferzahl</t>
  </si>
  <si>
    <t>erwartete Häufigkeit: h_dach = p * N</t>
  </si>
  <si>
    <t xml:space="preserve">geschätzt aus den Gruppenstärken des Versuchs </t>
  </si>
  <si>
    <t>k</t>
  </si>
  <si>
    <t>Expected Frequencies</t>
  </si>
  <si>
    <t>(aus relativen Gruppenstärken)</t>
  </si>
  <si>
    <t>weil überall 19 taucht überall der gleiche Wert auf</t>
  </si>
  <si>
    <t>erwartete Trefferhäufigkeit f_0</t>
  </si>
  <si>
    <t>auch wieder 19, weil 19/57</t>
  </si>
  <si>
    <t>Test</t>
  </si>
  <si>
    <t>m</t>
  </si>
  <si>
    <t>s2</t>
  </si>
  <si>
    <t>man hat einen Würfel mit den 3 Seiten risk/ ill/ normal &gt; p=1/3</t>
  </si>
  <si>
    <t>s</t>
  </si>
  <si>
    <t>man wirft diesen Würfel 57 Mal &gt; N=57</t>
  </si>
  <si>
    <t>Für Ellipsen:</t>
  </si>
  <si>
    <t>x (Treffer)</t>
  </si>
  <si>
    <t>wie oft wird man bei diesem Versuch richtig raten? &gt;&gt; Binomialverteilung (binärer Ausgang)</t>
  </si>
  <si>
    <t>alpha</t>
  </si>
  <si>
    <t>z</t>
  </si>
  <si>
    <t xml:space="preserve"> &gt; man hat mit p &amp; N auch schon die Parameter ihrer Verteilung</t>
  </si>
  <si>
    <t>2 df weil 2 Variablen</t>
  </si>
  <si>
    <t>P(IzI&gt;z0) (zweiseitiger Test)</t>
  </si>
  <si>
    <t xml:space="preserve">x-Achse: Treffer (geht von 0-57); f(x)-Achse: Wsktsdichte </t>
  </si>
  <si>
    <t>mit der Binomialverteilung</t>
  </si>
  <si>
    <t>mü = N*p</t>
  </si>
  <si>
    <t>Var-Covar-Matrix</t>
  </si>
  <si>
    <t>Inverse</t>
  </si>
  <si>
    <t>sigma^2 = N*p*(1-p)</t>
  </si>
  <si>
    <t>wenn sigma^2 größer/gleich 9 &gt; NV-Approximation gilt</t>
  </si>
  <si>
    <t>z-Wert = x-mü/ sigma</t>
  </si>
  <si>
    <t>wie groß ist die Wskt, dass man noch mehr Treffer macht als 52? (zweiseitiger Test)</t>
  </si>
  <si>
    <t>nicht euklidische Distanz, sondern quadrierte M-Distanz</t>
  </si>
  <si>
    <t>Nr</t>
  </si>
  <si>
    <t>y</t>
  </si>
  <si>
    <t>Group</t>
  </si>
  <si>
    <t>zx</t>
  </si>
  <si>
    <t>zy</t>
  </si>
  <si>
    <t>Ellipsen</t>
  </si>
  <si>
    <t>phi</t>
  </si>
  <si>
    <t>q</t>
  </si>
  <si>
    <t>r</t>
  </si>
  <si>
    <t>Mittelwerte (Centroide)</t>
  </si>
  <si>
    <t>z(risk)</t>
  </si>
  <si>
    <t>z(ill)</t>
  </si>
  <si>
    <t>z(normal)</t>
  </si>
  <si>
    <t>a) Mittelwert und Standardabweichung für Rohdaten (Overall) berechnen.</t>
  </si>
  <si>
    <t>c) Mittelwerte der Untergruppen berechnen (für Roh- und z-Daten)</t>
  </si>
  <si>
    <t>d) Korrelationen, Stichprobengrößen, Var/Cov Matrizen, Determinanten und Inversen berechnen. (Hier berechnet man die Ellipsen)</t>
  </si>
  <si>
    <t>iS</t>
  </si>
  <si>
    <t>e) Mahalanobisdistanzen relativ zur eigenen Gruppe berechnen</t>
  </si>
  <si>
    <t>Quadrierte Mahalanbisdistanzen</t>
  </si>
  <si>
    <t>f) Zeilenminima der Mahalanobis-Distanzen bestimmen.</t>
  </si>
  <si>
    <t>Minimum = 1 , Nicht Minimum = 0</t>
  </si>
  <si>
    <t>g) Minimum Distance Classifier bestimmen.</t>
  </si>
  <si>
    <t>Wir haben 52 Treffer, bei 57 Cases</t>
  </si>
  <si>
    <t>h) Performance Test berechnen.</t>
  </si>
  <si>
    <t>Chi</t>
  </si>
  <si>
    <t>Nice to Know: Daten für das Diagramm (wurden im Seminar nicht erläutert).</t>
  </si>
  <si>
    <t>Nice To Know: Diagramm zur Veranschaulichung.</t>
  </si>
  <si>
    <t xml:space="preserve">Der Minimum Distance Classifier (MDC) ist ein multivariates Klassifikationssystem:  </t>
  </si>
  <si>
    <t>man misst den Abstand jedes Messwertes zum Centroiden seiner eigenen Gruppe &amp; zu den Centroiden der anderen Gruppen</t>
  </si>
  <si>
    <t xml:space="preserve">&gt; man erhält also (in diesem Beispiel) 3 verschiedene Abstände </t>
  </si>
  <si>
    <t>&gt; "lege das Ei in das Nest, zu dem der Abstand am kürzesten ist"</t>
  </si>
  <si>
    <t>&gt; macht man nur mit der M-Distanz, da sie frei von den Skalen, die man verwendet hat &gt; liefert die wahre Distanz</t>
  </si>
  <si>
    <t xml:space="preserve">in jeder Gruppe eigene Varianz-Kovarianz-Matrix </t>
  </si>
  <si>
    <t>&gt;&gt; Ist eine eine Art post-hoc Analyse mit der geschaut wird, ob die Personen tatsächlich in die gebildeten Gruppen passen.</t>
  </si>
  <si>
    <t>Kommt ohne die Annahme der multivariaten NV aus! (bei Bayes erst wichtig)</t>
  </si>
  <si>
    <t>Ellipse: in diesem</t>
  </si>
  <si>
    <t>Bereich liegen</t>
  </si>
  <si>
    <t xml:space="preserve">95% der Daten, </t>
  </si>
  <si>
    <t>wenn die Daten</t>
  </si>
  <si>
    <t>multivariat nv sind</t>
  </si>
  <si>
    <t>(das berechnet man übrigens immer so)</t>
  </si>
  <si>
    <r>
      <t>erwartete Häufigkeit für Zelle ij: h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_dach = p</t>
    </r>
    <r>
      <rPr>
        <vertAlign val="subscript"/>
        <sz val="10"/>
        <rFont val="Arial"/>
        <family val="2"/>
      </rPr>
      <t>i</t>
    </r>
  </si>
  <si>
    <r>
      <t>dabei ist: p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: geschätzte Wskt für Gruppe i (a priori Wskt)</t>
    </r>
  </si>
  <si>
    <r>
      <t>h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: tatsächliche Häufigkeit von Gruppe i im Versuch </t>
    </r>
  </si>
  <si>
    <r>
      <t>&gt;&gt; p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_dach = h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/N</t>
    </r>
  </si>
  <si>
    <t>Wir wollen wissen, ob unsere Einordnung zu den Gruppen gut oder schlecht ist</t>
  </si>
  <si>
    <r>
      <t>erwartete Zellhäufigkeit: h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_dach = (h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* h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)/N = h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</t>
    </r>
  </si>
  <si>
    <t>man braucht keine zu den geschätzten Wskten proportionalen Gruppenstärken</t>
  </si>
  <si>
    <t>Häufigkeitstest (Binomialtest):</t>
  </si>
  <si>
    <t>wie wahrscheinlich ist es, 52 Treffer zu machen in dieser Verteilung?</t>
  </si>
  <si>
    <t>(Maximum) Bayes Classifier</t>
  </si>
  <si>
    <t xml:space="preserve">Der (Maximum) Bayes Classifier (MBC) ist ein multivariates Klassifikationssystem:  </t>
  </si>
  <si>
    <t>Quadrierte Mahalanobisdistanzen</t>
  </si>
  <si>
    <t>f) Likelihoods berechnen</t>
  </si>
  <si>
    <t>Likelihoods</t>
  </si>
  <si>
    <t>g) A-Priori Wahrscheinlichkeiten (sind immer vorgegeben)</t>
  </si>
  <si>
    <t>A-Priori WKs</t>
  </si>
  <si>
    <t>h) Bayes Wahrscheinlichkeiten berechnen</t>
  </si>
  <si>
    <t>Zeilen müssen immer 1 ergeben</t>
  </si>
  <si>
    <r>
      <t xml:space="preserve">Kontrolle </t>
    </r>
    <r>
      <rPr>
        <b/>
        <sz val="10"/>
        <color indexed="9"/>
        <rFont val="Symbol"/>
        <family val="1"/>
        <charset val="2"/>
      </rPr>
      <t>S</t>
    </r>
    <r>
      <rPr>
        <b/>
        <sz val="10"/>
        <color indexed="9"/>
        <rFont val="Arial"/>
        <family val="2"/>
      </rPr>
      <t>p(c|x)</t>
    </r>
  </si>
  <si>
    <t>i) Zeilenmaxima der Bayes Wahrscheinlichkeiten bestimmen.</t>
  </si>
  <si>
    <t>Maximum = 1 , Nicht Maximum = 0</t>
  </si>
  <si>
    <t>g) Maximum Bayes Classifier bestimmen.</t>
  </si>
  <si>
    <t>Wir haben 44 Treffer, bei 57 Cases</t>
  </si>
  <si>
    <t>Braucht die Annahme der multivariaten Normalverteilung -&gt; Müsste man prüfen</t>
  </si>
  <si>
    <t>wie wahrscheinlich ist es, 44 Treffer zu machen in dieser Verteilung?</t>
  </si>
  <si>
    <t>Quadratic Classification Rule</t>
  </si>
  <si>
    <t xml:space="preserve">Die Quadratic Classification Rule ist ein multivariates Klassifikationssystem:  </t>
  </si>
  <si>
    <t>QCR = Bayes (nur leichter) -&gt; In der Klausur QCR machen!</t>
  </si>
  <si>
    <t>g) A-Priori Wahrscheinlichkeiten (sind immer vorgegeben) und Logarithmisierungen berechnen</t>
  </si>
  <si>
    <t>Wks</t>
  </si>
  <si>
    <t>ln(Det)</t>
  </si>
  <si>
    <t>2*ln(A-Priori)</t>
  </si>
  <si>
    <t>Bayes Wks</t>
  </si>
  <si>
    <t xml:space="preserve">h) QCR berechnen </t>
  </si>
  <si>
    <t>i) Zeilenminima der QCR berechnen</t>
  </si>
  <si>
    <t>QCR</t>
  </si>
  <si>
    <t>Max Likelihood Ratio</t>
  </si>
  <si>
    <t>Es gilt</t>
  </si>
  <si>
    <t>H1</t>
  </si>
  <si>
    <t>H0</t>
  </si>
  <si>
    <t>D</t>
  </si>
  <si>
    <t>D1</t>
  </si>
  <si>
    <t>Hit</t>
  </si>
  <si>
    <t>FA</t>
  </si>
  <si>
    <t>D0</t>
  </si>
  <si>
    <t>Miss</t>
  </si>
  <si>
    <t>CR</t>
  </si>
  <si>
    <t>HäufigkeitsMatrix</t>
  </si>
  <si>
    <t>Entscheidung</t>
  </si>
  <si>
    <t>Apriori</t>
  </si>
  <si>
    <t>ValueMatrix</t>
  </si>
  <si>
    <t>a) Bedingte Wahrscheinlichkeiten berechnen.</t>
  </si>
  <si>
    <t>Fühlerlänge: x</t>
  </si>
  <si>
    <t>Flügellänge: y</t>
  </si>
  <si>
    <t>Sorte</t>
  </si>
  <si>
    <t>blind</t>
  </si>
  <si>
    <t>stech</t>
  </si>
  <si>
    <t>bedingte WK / rel. Häufig.</t>
  </si>
  <si>
    <t>Ein Gesundheitspsychologe habe 1340 Personen untersucht und diese mit einen diagnostischen System als Gesund (D0) oder als Risikopatienten eingestuft (D1).</t>
  </si>
  <si>
    <t xml:space="preserve">Die 1340 Versuchsteilnehmer wurden in einem Langfrist-Assessment in einem Herzzentrum über ein Jahr lang betreut. Zum Abschluss wurde die Normalität (H0) oder  </t>
  </si>
  <si>
    <t>Auffälligkeit (H1) exakt festgestellt.</t>
  </si>
  <si>
    <t>Der Psychologe habe zur Klassifikation eine eindimensionale Skala verwendet, die normalverteilte Werte in jeder Gruppe mit gleicher Varianz liefert.</t>
  </si>
  <si>
    <t>1)</t>
  </si>
  <si>
    <t>Erstelle die Tabelle der bedingten Wahrscheinlichkeiten Hit, Miss, False Alarm, Correct Rejection!</t>
  </si>
  <si>
    <t>2)</t>
  </si>
  <si>
    <t>Wie gross ist der Anteil der korrekten Entscheidungen des Systems des Psychologen?</t>
  </si>
  <si>
    <t>3)</t>
  </si>
  <si>
    <t>Ab welchem Standardwert entscheidet sich der Psychologe für die H1 (risiko)?</t>
  </si>
  <si>
    <t>4)</t>
  </si>
  <si>
    <t>5)</t>
  </si>
  <si>
    <t>Bei welchem z-Standardwert muss man die H0 verwerfen, wenn man den Anteil korrekter Entscheidungen maximieren will?</t>
  </si>
  <si>
    <t>6)</t>
  </si>
  <si>
    <t>Wie lautet die Confusion-Matrix (relative Häufigkeiten) für dieses Entscheidungskriterium?</t>
  </si>
  <si>
    <t>7)</t>
  </si>
  <si>
    <t>Erstelle einen Plot : Anteil korrekter Entscheidungen (Y) gegen Wert des Entscheidungskriteriums (z-Wert, relativ zur H0 Verteilung normiert)</t>
  </si>
  <si>
    <t>8)</t>
  </si>
  <si>
    <t>Mit den  Ereignissen Hit, Miss, False Alarm, Correct Rejection seien Werte (in Euro) gemäss der Value-Matrix verbunden.</t>
  </si>
  <si>
    <t>Wie Lautet der Erwartungswert der Entscheidungsregel des Psychologen ?</t>
  </si>
  <si>
    <t>9)</t>
  </si>
  <si>
    <t>Wie hoch ist der maximal zu erzielende Gewinn (Erwartungswert) bei der gegeben Wertematrix ?</t>
  </si>
  <si>
    <t>Wie gross ist der Abstand der beiden Gruppenmittelwerte in z- Einheiten? (standardisiertet MW Abstand/Effektgröße)</t>
  </si>
  <si>
    <t>pcorr</t>
  </si>
  <si>
    <t>z0</t>
  </si>
  <si>
    <t>d'</t>
  </si>
  <si>
    <t>beta</t>
  </si>
  <si>
    <t>z(beta)</t>
  </si>
  <si>
    <t>b) ProportionCorrect Wert, z-Werte (Wert ab dem Entscheidung getroffen wird), dprime, beta und z(beta) berechnen.</t>
  </si>
  <si>
    <t>Formeln</t>
  </si>
  <si>
    <t>oder</t>
  </si>
  <si>
    <t>c) Maximum ProportionCorrect Confusion Matrix berechnen.</t>
  </si>
  <si>
    <t>Wenn man diesen Wert verwendet hat man optimale Entscheidung (Maximale PC)</t>
  </si>
  <si>
    <t>Der Effekt beträgt 1,181 Standard Einheiten = Effektstärke</t>
  </si>
  <si>
    <t>Ist der Inverse Quotient der apriori Wahrscheinlichkeiten</t>
  </si>
  <si>
    <t>MaxPC-ConfusionMatrix</t>
  </si>
  <si>
    <t>Diese Matrix zeigt wie groß PC am Entscheidungskriterium ist</t>
  </si>
  <si>
    <t>d) Anteil der ProportionCorrect ausrechnen</t>
  </si>
  <si>
    <t>MaxPC</t>
  </si>
  <si>
    <t>z=-Infinitiy</t>
  </si>
  <si>
    <t>z=Infinity</t>
  </si>
  <si>
    <t>Wenn man das Entscheidungskriterium nach minus unendlich legt, also in dem Graphen ganz ganz</t>
  </si>
  <si>
    <t>weit nach links schiebt, was für eine PC bekommt man dann (z=-Infitinity pcorr).</t>
  </si>
  <si>
    <t>e) Proportion Correct Werte für z berechnen und proportionCorrect Funktion zeichnen.</t>
  </si>
  <si>
    <t>F(z)</t>
  </si>
  <si>
    <t>F(z-d')</t>
  </si>
  <si>
    <t>Eval</t>
  </si>
  <si>
    <t>Hier ist Platz für das Diagramm.</t>
  </si>
  <si>
    <t>Hier ist die maximale proportion correct erreicht (danach fällt es wieder ab). Der Höhepunkt ist dort erreicht wo wir ihn berechnet haben (siehe Diagramm)</t>
  </si>
  <si>
    <t xml:space="preserve">Excel -&gt; Einfügen -&gt; Punktdiagramm. </t>
  </si>
  <si>
    <t xml:space="preserve">Rechtsklick -&gt; Daten auswählen -&gt; Hinzufügen </t>
  </si>
  <si>
    <t>Werte der Reihe X = z-Werte -&gt; Werte der Reihe Y = pcorr Werte</t>
  </si>
  <si>
    <t>Doppelklick auf Punkte -&gt; Farbeimer -&gt; Linie</t>
  </si>
  <si>
    <t>f) Ecpected Values Matrix berechnen.</t>
  </si>
  <si>
    <t>ExpectedValues</t>
  </si>
  <si>
    <t>g) Erwartungswert in Euro, beta und z-beta berechnen.</t>
  </si>
  <si>
    <t>E (total)</t>
  </si>
  <si>
    <t>Da p(H0)/p(H1)=beta ist</t>
  </si>
  <si>
    <t>können wir den Term ver-</t>
  </si>
  <si>
    <t>einfachen</t>
  </si>
  <si>
    <t>h) MaximumValueConfusion Matrix berechnen.</t>
  </si>
  <si>
    <t>MaxVal-Conf.Matrix</t>
  </si>
  <si>
    <t>i) Erwarteter Nutzen berechnen.</t>
  </si>
  <si>
    <t>MaxVal</t>
  </si>
  <si>
    <t>z=-Infinity</t>
  </si>
  <si>
    <t>E(total)</t>
  </si>
  <si>
    <t>j) Nutzen Funktion berechnen und zeichnen.</t>
  </si>
  <si>
    <t>a) z-standardisieren der Ausgangswerte</t>
  </si>
  <si>
    <t>Phi</t>
  </si>
  <si>
    <t>Für Rotation - wenn man diesen Wert variiert verändert sich der p-Wert und Trennleistung</t>
  </si>
  <si>
    <t>b) b-Gewichte ausrechnen.</t>
  </si>
  <si>
    <t>b1</t>
  </si>
  <si>
    <t>b2</t>
  </si>
  <si>
    <t>c) z1' und z2' berechnen (neue Linearkombination finden)</t>
  </si>
  <si>
    <t>z1'</t>
  </si>
  <si>
    <t>z2'</t>
  </si>
  <si>
    <t>Wichtig</t>
  </si>
  <si>
    <t>Auf das Minus in der zweiten Formel achten!</t>
  </si>
  <si>
    <t>Wir wollen Mücken anhand von Fühlerlänge und Flügellänge in Blind- und Stechmücken kategorisieren.</t>
  </si>
  <si>
    <t>d) Yblind und Ystech berechnen</t>
  </si>
  <si>
    <t>Yblind</t>
  </si>
  <si>
    <t>Ystech</t>
  </si>
  <si>
    <t>m (Variablen)</t>
  </si>
  <si>
    <t>Grand Mean</t>
  </si>
  <si>
    <t>Zusatz: Diagramm aus z-standardisierten Werten.</t>
  </si>
  <si>
    <t>Diagramm</t>
  </si>
  <si>
    <t>d) Quadratsummen berechnen.</t>
  </si>
  <si>
    <t>QS(zwischen)</t>
  </si>
  <si>
    <t>QS(Innerhalb)</t>
  </si>
  <si>
    <t>e) Kennwerte der Diskrimanzanalyse berechnen.</t>
  </si>
  <si>
    <t>Ratio Gamma</t>
  </si>
  <si>
    <t>Wilks Lambda</t>
  </si>
  <si>
    <t>R²</t>
  </si>
  <si>
    <t>pooled Var</t>
  </si>
  <si>
    <t>(ist immer Null)</t>
  </si>
  <si>
    <t>k (Gruppen)</t>
  </si>
  <si>
    <t>Antwort</t>
  </si>
  <si>
    <t xml:space="preserve">hochsignifikante Trennleistung bei gegebenem Winkel (Phi) -&gt; Ergebnis/Trennleistung/ </t>
  </si>
  <si>
    <t>Signifikanz hängt vom Trennwinkel ab</t>
  </si>
  <si>
    <t>pooled S</t>
  </si>
  <si>
    <t>b1 (normiert)</t>
  </si>
  <si>
    <t>b2 (normiert)</t>
  </si>
  <si>
    <t>h) normierte Yblind und Ystech berechnen</t>
  </si>
  <si>
    <t>i) Quadratsummen der normierten Diskrimanzanalyse berechnen.</t>
  </si>
  <si>
    <t>j) Kennwerte der normierten Diskrimanzanalyse berechnen.</t>
  </si>
  <si>
    <t>k) T-Test auf Gruppenunterschied berechnen.</t>
  </si>
  <si>
    <t>D(AM)</t>
  </si>
  <si>
    <t>t</t>
  </si>
  <si>
    <t>SE</t>
  </si>
  <si>
    <t>l) Normiertes d-prime, beta und z(beta) berechnen.</t>
  </si>
  <si>
    <t>hier wird 1 für gleiche a-priori WK angenommen</t>
  </si>
  <si>
    <t>Formel</t>
  </si>
  <si>
    <t>Zusatz: Diagramm der rotierten Lösung erstellen</t>
  </si>
  <si>
    <t>m) Zuordnung durch Diskriminanzfunktion durchführen.</t>
  </si>
  <si>
    <t>Y0</t>
  </si>
  <si>
    <t>Discriminant Function Classifier</t>
  </si>
  <si>
    <t>Wenn Y&gt;Y0-&gt;"blind" sonst "stech"</t>
  </si>
  <si>
    <t>blindINblind</t>
  </si>
  <si>
    <t>blindINstech</t>
  </si>
  <si>
    <t>stechInblind</t>
  </si>
  <si>
    <t>stechInstech</t>
  </si>
  <si>
    <t>n) Anzahl richtiger Klassifikationen bestimmen.</t>
  </si>
  <si>
    <t>ConfusionMatrix</t>
  </si>
  <si>
    <t>Classify as</t>
  </si>
  <si>
    <t>Mücke ist</t>
  </si>
  <si>
    <t>CorrReject</t>
  </si>
  <si>
    <t>FalseAlarm</t>
  </si>
  <si>
    <t>Excel -&gt; Einfügen -&gt; Punktdiagramm</t>
  </si>
  <si>
    <t>Rechtsklick Daten auswählen -&gt; Hinzufügen</t>
  </si>
  <si>
    <t>Reihenname Blindmücke -&gt; Werte X: normierte Yblind -&gt; Werte Y: blindinblind</t>
  </si>
  <si>
    <t>zweite Datenreihe hinzufügen</t>
  </si>
  <si>
    <t>Reihenname Stechmücke -&gt; Werte X: normierte Ystech -&gt; Werte Y -&gt; stechinstech</t>
  </si>
  <si>
    <t>Diskriminanzanalyse 2 Variablen 2 Gruppen</t>
  </si>
  <si>
    <t>Diskriminanzanalyse 3 Variablen 3 Gruppen</t>
  </si>
  <si>
    <t>b) Centroide und Standardabweichungen für jede Gruppe auf jeder Variable berechnen.</t>
  </si>
  <si>
    <t>am_11</t>
  </si>
  <si>
    <t>am_12</t>
  </si>
  <si>
    <t>s_11</t>
  </si>
  <si>
    <t>s_12</t>
  </si>
  <si>
    <t>am_21</t>
  </si>
  <si>
    <t>am_22</t>
  </si>
  <si>
    <t>Statistica -&gt; Statistik -&gt; Explorative Verfahren -&gt; Diskriminanzanalyse</t>
  </si>
  <si>
    <t>Variablen -&gt; links Gruppierungsvariable: group -&gt; rechts: übrige Variablen: x,y…</t>
  </si>
  <si>
    <t>Codes für Gruppierungsvariable -&gt; Alle -&gt; Ok</t>
  </si>
  <si>
    <t xml:space="preserve">Details -&gt; Kanonische Analyse -&gt; Koeffizienten für kanonische Variablen </t>
  </si>
  <si>
    <t>In Excel kopieren und b Gewichte berechnen (siehe Formel in Zelle)</t>
  </si>
  <si>
    <t>b) b-Gewichte mit Statistica ausrechnen und anschließend b-Gewichte normieren.</t>
  </si>
  <si>
    <t>b1_normiert</t>
  </si>
  <si>
    <t>b2_normiert</t>
  </si>
  <si>
    <t>Root 1</t>
  </si>
  <si>
    <t>Eigenw.</t>
  </si>
  <si>
    <t>Standardisierte Koeff. (Tabelle1)
für kanon. Variablen</t>
  </si>
  <si>
    <t>Länge des Eigenvektors</t>
  </si>
  <si>
    <t>Vorschlag für b1 aus Statistica</t>
  </si>
  <si>
    <t>Vorschlag für b2 aus Statistica</t>
  </si>
  <si>
    <t>selbst berechnet</t>
  </si>
  <si>
    <t>c) Drehwinkel Phi berechnen.</t>
  </si>
  <si>
    <t>Das ist der optimale Drehwinkel</t>
  </si>
  <si>
    <t>d) B-Matrix berechnen.</t>
  </si>
  <si>
    <t>B-Matrix</t>
  </si>
  <si>
    <t>e) W-Matrix berechnen.</t>
  </si>
  <si>
    <t xml:space="preserve">Sum of Cross Products </t>
  </si>
  <si>
    <t>Kreuzprodukt der Zellmittelwerte</t>
  </si>
  <si>
    <t>W-Matrix</t>
  </si>
  <si>
    <t>f) Invertierte W-Matrix berechnen.</t>
  </si>
  <si>
    <r>
      <t>W</t>
    </r>
    <r>
      <rPr>
        <b/>
        <vertAlign val="superscript"/>
        <sz val="10"/>
        <color indexed="9"/>
        <rFont val="Arial"/>
        <family val="2"/>
      </rPr>
      <t>-1</t>
    </r>
  </si>
  <si>
    <t>g) A-Matrix berechnen</t>
  </si>
  <si>
    <t>A-Matrix</t>
  </si>
  <si>
    <t xml:space="preserve">h) Eigenwert berechnen (Statistica) </t>
  </si>
  <si>
    <t>EigenValue</t>
  </si>
  <si>
    <t>aus dieser Matrix ergeben sich die Eigenwerte durch Eigenwertzerlegung (Tabelle unten drunter)</t>
  </si>
  <si>
    <t>Lambda 1</t>
  </si>
  <si>
    <t>Lambda 2</t>
  </si>
  <si>
    <t>Eigenw. In Excel kopieren</t>
  </si>
  <si>
    <t>Statistica gibt nur einen Eigenwert aus</t>
  </si>
  <si>
    <t>i) Determinanten von B-, W- und B+W Matrix.</t>
  </si>
  <si>
    <t>W+B Matrix</t>
  </si>
  <si>
    <t>Das ist genau das gleiche wie im Blatt zuvor</t>
  </si>
  <si>
    <t>Diskriminanzanalyse 2 Variablen 2 Gruppen alternativer Weg</t>
  </si>
  <si>
    <t>j) Wilks Lambda und R² (Varianzaufklärung der gesamten Diskriminanzlösung) berechnen.</t>
  </si>
  <si>
    <t>Weiteres Vorgehen wie bei vorherigem Blatt nachdem Wilks Lambda berechnet wurde (Schritt k)</t>
  </si>
  <si>
    <t>Daten: X</t>
  </si>
  <si>
    <t>G1</t>
  </si>
  <si>
    <t>G2</t>
  </si>
  <si>
    <t>G3</t>
  </si>
  <si>
    <t>Aufgabe 1: Bestimmen Sie die Varianzaufklärung durch die Gruppenaufteilung (QS_zwischen und QS_innen) für den Variablenverbund über Bestimmung des Wilks Lambda</t>
  </si>
  <si>
    <t>a) Means, STDs, m, k und n berechnen.</t>
  </si>
  <si>
    <t>Means</t>
  </si>
  <si>
    <t>STDs</t>
  </si>
  <si>
    <t>k (Anzahl Gruppen)</t>
  </si>
  <si>
    <t>m Anzahl Variablen)</t>
  </si>
  <si>
    <t>n (je Gruppe)</t>
  </si>
  <si>
    <t>b) Mu (µ) Matrix berechnen.</t>
  </si>
  <si>
    <t>mu1</t>
  </si>
  <si>
    <t>mu2</t>
  </si>
  <si>
    <t>mu3</t>
  </si>
  <si>
    <t>W1</t>
  </si>
  <si>
    <t>W2</t>
  </si>
  <si>
    <t>W3</t>
  </si>
  <si>
    <t>c) W-Matrizen und deren Determinanten berechnen (für jede Gruppe und gesamt)</t>
  </si>
  <si>
    <t>Cov_pooled</t>
  </si>
  <si>
    <t>d) Gepoolte Varianz Kovarianz Matrix und Determinante berechnen.</t>
  </si>
  <si>
    <t>e) B-Matrix und Determinante berechnen. Mit Hilfe von Hilfsmatrix</t>
  </si>
  <si>
    <t>Hilfsmatrix: Zell-MW Matrix</t>
  </si>
  <si>
    <t>f) W+B Matrix und Determinante berechnen.</t>
  </si>
  <si>
    <t>W+B-Matrix</t>
  </si>
  <si>
    <t>g) Overall Wilks Lambda und R² berchnen</t>
  </si>
  <si>
    <t>Aufgabe 2: Führen Sie eine Diskriminanzanalyse der Daten durch und bestimmen Sie alle Diskriminanzfunktionen.</t>
  </si>
  <si>
    <t>a) Aufstellen der Diskriminanzfunktion mit Hilfe von Statistica Ausgabe.</t>
  </si>
  <si>
    <t>In Excel kopieren und b Gewichte entsprechend in Formel einsetzen</t>
  </si>
  <si>
    <t>Root 2</t>
  </si>
  <si>
    <t>Kum. %</t>
  </si>
  <si>
    <t>Diskriminanzfunktion1:</t>
  </si>
  <si>
    <t>Y = b11*x1+b12*x2+b13*x3</t>
  </si>
  <si>
    <t>Diskriminanzfunktion2:</t>
  </si>
  <si>
    <t>Y = b21*x1+b22*x2+b23*x3</t>
  </si>
  <si>
    <t>Root = Diskriminanzfunktion</t>
  </si>
  <si>
    <r>
      <rPr>
        <sz val="10"/>
        <color indexed="10"/>
        <rFont val="Arial"/>
        <family val="2"/>
      </rPr>
      <t>Standardisierte</t>
    </r>
    <r>
      <rPr>
        <sz val="10"/>
        <rFont val="Arial"/>
        <family val="2"/>
      </rPr>
      <t xml:space="preserve"> Koeff. (3Vars3Groups.sta)
für kanon. Variablen</t>
    </r>
  </si>
  <si>
    <t>Gesamtaufklärung durch beide Roots</t>
  </si>
  <si>
    <t>R² gesamt</t>
  </si>
  <si>
    <t>Wilks Lambda gesamt</t>
  </si>
  <si>
    <t>b) Gesamtaufklärung durch beide Roots aus Aufgabe 1</t>
  </si>
  <si>
    <t>c) Anteilige Varianzaufklärung berechnen.</t>
  </si>
  <si>
    <t>Anteilige Varianzaufklärung</t>
  </si>
  <si>
    <t>Gamma</t>
  </si>
  <si>
    <t>Anteil an Var</t>
  </si>
  <si>
    <t>Teil R²</t>
  </si>
  <si>
    <t>d) Aufklärung der einzelnen Roots als unabhängige Diskriminanzfunktionen berechnen.</t>
  </si>
  <si>
    <t>Aufklärung der einzelnen Roots als unabhängige D-Funktionen</t>
  </si>
  <si>
    <t>=&gt; Summe der Aufklärung entlang jeder einzelnen Achse ist größer als die Gesamtaufklärung durch die 2 Funktionslösung</t>
  </si>
  <si>
    <t>=&gt; Gesamtaufklärung der Diskriminanzanalyse ist nicht additiv!!!! Da die R² der beiden Roots nicht unabhängig voneinander sind</t>
  </si>
  <si>
    <t>Aufgabe 3: Tragen alle Diskriminanzfunktionen signifikant zur Klassifikation bei?</t>
  </si>
  <si>
    <t>Roots Entfernt</t>
  </si>
  <si>
    <t>Chi²-Tests mit sukzessiv entfernten Roots (3Vars3Groups.sta)</t>
  </si>
  <si>
    <t>Eigen-</t>
  </si>
  <si>
    <t>Kanon.</t>
  </si>
  <si>
    <t>Wilks</t>
  </si>
  <si>
    <t>Chi ²</t>
  </si>
  <si>
    <t>FG</t>
  </si>
  <si>
    <t>p-Wert</t>
  </si>
  <si>
    <t>0</t>
  </si>
  <si>
    <t>Gesamtlösung liefert sign. Gruppentrennung (Root 1 &amp; Root 2)</t>
  </si>
  <si>
    <t>Die 2. Root liefert ebenfalls noch signifikante Gruppentrennung</t>
  </si>
  <si>
    <t>Ab hier Test für beide Roots</t>
  </si>
  <si>
    <t>=&gt; Man braucht beide Roots für die Diskriminanzlösung</t>
  </si>
  <si>
    <t>a) Chi² Test als Ausgabe aus Statistica.</t>
  </si>
  <si>
    <t>Kanonische Analyse -&gt; Details -&gt;  Zusammenfassung Chi²-Tests für sukzessive Roots</t>
  </si>
  <si>
    <t>Aufgabe 4: Wie viel Diskriminationsvarianz wird anteilig durch die einzelnen Funktionen.</t>
  </si>
  <si>
    <t>Aufgabe 5: Bestimmen Sie mit geeigneten Methoden die Relevanz der einzelnen Variablen für die erste Diskriminanzfunktion: welche Variablen sollten aufgenommen werden, welche kann</t>
  </si>
  <si>
    <t>man weglassen? Erläutern Sie ihre Ergebnisse und begründen Sie den Verfahrensweg.</t>
  </si>
  <si>
    <t>a) Zusammenfassung der Variablen im Modell als Statistica Ausgabe.</t>
  </si>
  <si>
    <t xml:space="preserve"> N=18</t>
  </si>
  <si>
    <t>Diskriminanzanalyse - Zusammenfassung (3Vars3Groups.sta)
Variablen im Modell: 3; Gruppen: group (3 Gr.)
Wilks Lambda: ,25747 approx. F (6,26)=4,2068 p&lt; ,0044</t>
  </si>
  <si>
    <t>Faktorenstruktur-Matrix (3Vars3Groups.sta)
Korrelationen:Variablen - kanon. Roots
(gepoolte Inner-Gruppen-Korr.)</t>
  </si>
  <si>
    <t>Part.</t>
  </si>
  <si>
    <t>F-entf.</t>
  </si>
  <si>
    <t>Toler.</t>
  </si>
  <si>
    <t>1-Toler.</t>
  </si>
  <si>
    <t>Root 1 (Y1)</t>
  </si>
  <si>
    <t>Root 2 (Y2)</t>
  </si>
  <si>
    <t>Ändert die Trennleistung marginal signifikant und korreliert mäßig hoch mit den anderen Vars</t>
  </si>
  <si>
    <t>=&gt; Was passiert mit der Gesamtlösung wenn man die Variable entfernt?</t>
  </si>
  <si>
    <t>Wilks: Neues Wilks Lambda, wenn Var x removed</t>
  </si>
  <si>
    <t>p-Wert: Frage nach signifikanter Veränderung der Gesamt-Trennleistung</t>
  </si>
  <si>
    <t>Abbrechen -&gt; Standard -&gt; Zusammenfassung der Variablen im Modell -&gt; In Excel einfügen</t>
  </si>
  <si>
    <t>Kanonische Analyse -&gt; Details -&gt; Koeffizienten für kanonische Variablen.</t>
  </si>
  <si>
    <t>b) Diagramm der Variablenlösung ausgeben lassen.</t>
  </si>
  <si>
    <t>Kanonische Analyse -&gt; Kanonische Werte -&gt; Scatterplot der kanonischen Werte</t>
  </si>
  <si>
    <t>c) Prüfung der Orthogonalität der Diskriminanzfunktionen.</t>
  </si>
  <si>
    <t xml:space="preserve"> Fall</t>
  </si>
  <si>
    <t>Gruppe</t>
  </si>
  <si>
    <t>-</t>
  </si>
  <si>
    <t>Std</t>
  </si>
  <si>
    <t>Y1</t>
  </si>
  <si>
    <t>Y2</t>
  </si>
  <si>
    <t>=&gt; Diskriminanzfunktionen sind wechselseitig orthogonal</t>
  </si>
  <si>
    <t>Kanonische Analyse -&gt; Kanonische Werte -&gt; Kanonische Werte für jeden Fall</t>
  </si>
  <si>
    <t xml:space="preserve">z2' braucht man eigentlich gar nicht </t>
  </si>
  <si>
    <t>f) Chi² Test berechnen (Gibt es eine signifikante Gruppentrennung auf der Diskriminanzanalyse?)</t>
  </si>
  <si>
    <t>g) Normierung der Diskrimanzanalyse (&gt; Varianz soll hier =1 werden)</t>
  </si>
  <si>
    <t xml:space="preserve">ändert sich durch die Normierung nicht </t>
  </si>
  <si>
    <t xml:space="preserve">ist =1 </t>
  </si>
  <si>
    <t xml:space="preserve">MW-Unterschied auf der standardisierten und normierten Diskriminanzfunktion </t>
  </si>
  <si>
    <t>Zusatz: Graph für Diskrimanzfunktion bestimmen (mit den berechneten Werten aus Schritt h)).</t>
  </si>
  <si>
    <t>Eigenvektor_längennormiert</t>
  </si>
  <si>
    <t xml:space="preserve">&gt;&gt; 3 Gruppen/3 Variablen hat 2 Diskriminanfunktionen </t>
  </si>
  <si>
    <t xml:space="preserve">Varianzaufklärung durch alle Diskriminanzfunktionen/ Gesamtlösung (Klassifikationsleistung) </t>
  </si>
  <si>
    <r>
      <t>Summe der Varianzaufklärungen von Root 1 und Root 2 ist das maximale 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, das man erreichen könnte &gt; man erreicht aber nur 74% (siehe oben) </t>
    </r>
  </si>
  <si>
    <t>kanonische Korrelation selbt berechnen (Wurzel aus R² für jede Root):</t>
  </si>
  <si>
    <t xml:space="preserve">bei der Bewertung der Lösung ist es besser, eine Variable drin zu lassen, statt sie zu entfernen, weil man sonst Leistung verliert </t>
  </si>
  <si>
    <r>
      <t xml:space="preserve">Roots können sich nach Entfernung einer Variable wieder ändern, deshalb sukzessives entfernen und Bewertung der Diskrimanzfunktion Schritt für Schritt </t>
    </r>
    <r>
      <rPr>
        <i/>
        <sz val="10"/>
        <rFont val="Arial"/>
        <family val="2"/>
      </rPr>
      <t>(iterative Lösung verändert die Betrachtung der Roots!)</t>
    </r>
  </si>
  <si>
    <t>Ändert die Trennleistung praktisch nicht und hat mit den anderen Vars wenig zu tun &gt; kann man entfernen</t>
  </si>
  <si>
    <t>Ändert die Trennleistung sehr signifikant und korreliert mäßig hoch mit den anderen Vars &gt; als die beste Variable bewertet</t>
  </si>
  <si>
    <t>ist immer =0, weil die Roots eben so festgelegt werden, dass ihr MW=0</t>
  </si>
  <si>
    <t>Der Graph drückt aus, wie gut zwischen den beiden Gruppen diskriminiert wird. In diesem</t>
  </si>
  <si>
    <t>Beispiel sehr gut, da rote und blaue Punkte perfekt getrennt sind und nicht durchmischt.</t>
  </si>
  <si>
    <t>Klassifikationsfunktion; Gruppen: group (3Vars3Groups.sta)</t>
  </si>
  <si>
    <t>Konst.</t>
  </si>
  <si>
    <t>Einkopiertes nochmal kopieren und transponiert einfügen.</t>
  </si>
  <si>
    <t>b3</t>
  </si>
  <si>
    <t>Konstante</t>
  </si>
  <si>
    <t>Klassifikationsfunktion</t>
  </si>
  <si>
    <t>Rohdaten</t>
  </si>
  <si>
    <t>Für jedes G muss man die B-Gewichte und</t>
  </si>
  <si>
    <t xml:space="preserve">die Konstante einstellen, deshalb vorher </t>
  </si>
  <si>
    <t>festsetzen und dann verschieben</t>
  </si>
  <si>
    <t>Maximum Rule Classification</t>
  </si>
  <si>
    <t>f) Einordnen der Personen in Gruppen durch Classification Rule</t>
  </si>
  <si>
    <t>e) Klassifikationsfunktion eingeben und ausrechnen. Max Classifier bestimmen.</t>
  </si>
  <si>
    <t xml:space="preserve">eingeordnet in </t>
  </si>
  <si>
    <t>Class Funct.</t>
  </si>
  <si>
    <t>Auf der Diagonalen stehen die Trefferzahlen</t>
  </si>
  <si>
    <t>M-Distanzen</t>
  </si>
  <si>
    <t>M1</t>
  </si>
  <si>
    <t>M2</t>
  </si>
  <si>
    <t>M3</t>
  </si>
  <si>
    <t>QCR1</t>
  </si>
  <si>
    <t>QCR2</t>
  </si>
  <si>
    <t>QCR3</t>
  </si>
  <si>
    <t>Minimum Rule Classification</t>
  </si>
  <si>
    <r>
      <t>Cov_Pooled</t>
    </r>
    <r>
      <rPr>
        <b/>
        <vertAlign val="superscript"/>
        <sz val="10"/>
        <color indexed="9"/>
        <rFont val="Arial"/>
        <family val="2"/>
      </rPr>
      <t>-1</t>
    </r>
  </si>
  <si>
    <t xml:space="preserve">Einmal eingeben, dann nach rechts </t>
  </si>
  <si>
    <t xml:space="preserve">weiter ziehen und mus manuell </t>
  </si>
  <si>
    <t>verschieben (oder benennen)</t>
  </si>
  <si>
    <t>g) Klassifikation mit QCR (zum Vergleich). Dazu berechnen: Mahalanobisdistanzen (Inverse von Cov-Pooled ganz am Anfang). Aprioris sind angegeben.</t>
  </si>
  <si>
    <t>A-Priori WK</t>
  </si>
  <si>
    <t>f) Einordnen der Personen in Gruppen durch Minimum Classifier.</t>
  </si>
  <si>
    <t>Wichtig: Merken!</t>
  </si>
  <si>
    <t>Bei gleichen A-Priori Wahrscheinlichkeiten klassifizieren QCR und Diskriminanz-</t>
  </si>
  <si>
    <t xml:space="preserve">Gilt nur dann wenn für QCR homogene Varianz-Kovarianz-Matrizen angenommen </t>
  </si>
  <si>
    <t>werden können (wäre angegeben - theoretische Voraussetzung)</t>
  </si>
  <si>
    <t xml:space="preserve">Alle Schritte können auch über Statistica ausgegeben werden unter dem Reiter </t>
  </si>
  <si>
    <t>Klassifikation (sprich M-Distanzen, QCR, Bayes, Klassifikationsmatrizen usw.)</t>
  </si>
  <si>
    <t xml:space="preserve">Aber nur: Wenn man annimmt, dass die Var-Kov-Matrizen homogen sind, falls das </t>
  </si>
  <si>
    <t>nicht so ist muss man die Gruppen einzeln in Statistica eingeben.</t>
  </si>
  <si>
    <t>(man sieht z.B., dass x2 auf der Root 1 ein hohes negatives Regressionsgewicht hat)</t>
  </si>
  <si>
    <t>nice  to know: man kann sich die standardisierten b's auch selbst ausrechnen:</t>
  </si>
  <si>
    <t xml:space="preserve">b_standardisiert = b_unstandardisiert * s_pooled </t>
  </si>
  <si>
    <t>immer die standardisierten Koeffizienten anschauen! Diese sind skalierungsfrei!</t>
  </si>
  <si>
    <t>(Anteil der Var.aufkl. in der Gesamtlösung)</t>
  </si>
  <si>
    <t>Teil-R2 ist der Anteil, den die Diskriminanzfunktion am gesamten R² hat</t>
  </si>
  <si>
    <r>
      <t>0,743 ist 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-Gesamt (die Gesamtaufklärung durch beide Roots)</t>
    </r>
  </si>
  <si>
    <t>(Gesamtaufklärung an between-group variance)</t>
  </si>
  <si>
    <t>=&gt; Redundanz in den beiden unabhängigen Diskriminationsfunktionen!!</t>
  </si>
  <si>
    <t>(bei dieser Betrachtung der Variablen auch wieder die standardisierten Koeffizienten (s.o.) mit im Auge haben)</t>
  </si>
  <si>
    <r>
      <t>1-Tol. : R² für die Prädiktion von x aus den anderen Variablen "kann man die Variable aus den anderen Variablen vorhersagen?"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mit den anderen Variablen im Modell; multiple Korrelation)</t>
    </r>
  </si>
  <si>
    <t>1-Tol ist also ein Redundanzwert: wie stark ist die Info, die diese Variable liefert, schon in den anderen Variablen, die zur Klassifikation verwendet werden, enthalten?</t>
  </si>
  <si>
    <t>Tolerance = uniqueness (der spezifische Beitrag dieser Variable)</t>
  </si>
  <si>
    <t>=&gt; Korrelation der Variablen mit den Roots (Faktorladung auf den Roots) ("Ladungsmatrix")</t>
  </si>
  <si>
    <t xml:space="preserve">alles was die Root 2 macht, macht x2 &gt; x2 bestimmt inhaltlich fast komplett die Root 2 </t>
  </si>
  <si>
    <t>x3 steckt in beiden Roots (ist sowohl in Root 1 als auch in Root 2 enthalten)</t>
  </si>
  <si>
    <r>
      <rPr>
        <sz val="10"/>
        <color indexed="10"/>
        <rFont val="Arial"/>
        <family val="2"/>
      </rPr>
      <t xml:space="preserve">Unstandardisierte </t>
    </r>
    <r>
      <rPr>
        <sz val="10"/>
        <rFont val="Arial"/>
        <family val="2"/>
      </rPr>
      <t>kanon. Werte (3Vars3Groups.sta)</t>
    </r>
  </si>
  <si>
    <t>Tabelle zeigt die Werte jeder</t>
  </si>
  <si>
    <t xml:space="preserve">Person auf den beiden </t>
  </si>
  <si>
    <t xml:space="preserve">Diskr.funktionen </t>
  </si>
  <si>
    <t>diese Funktionen sind normiert,</t>
  </si>
  <si>
    <t xml:space="preserve">sie enthalten also keine </t>
  </si>
  <si>
    <t xml:space="preserve">Skalierungseffekte </t>
  </si>
  <si>
    <t>&gt; man kann sie also direkt zum</t>
  </si>
  <si>
    <t xml:space="preserve">Klassifizieren verwenden </t>
  </si>
  <si>
    <t xml:space="preserve">Interpretation: man kann schon einigermaßen abgrenzbare Gebiete erkennen </t>
  </si>
  <si>
    <t>nice to know: dieser Raum ist immer ein orthogonaler Raum &gt; es muss also immer eine</t>
  </si>
  <si>
    <t>Diagonalmatrix rauskommen (siehe nächster Schritt)</t>
  </si>
  <si>
    <t>Interpretation der Diagonalmatrix:</t>
  </si>
  <si>
    <t>die beiden Werte, die nicht 0 sind '&gt; Längenquadrate der beiden Diskriminanzfunktionen</t>
  </si>
  <si>
    <t xml:space="preserve">die beiden Roots stehen senkrecht aufeinander </t>
  </si>
  <si>
    <t xml:space="preserve">die beiden Roots sind unkorreliert '&gt; man darf also euklidisch (mit dem direkten Abstand der </t>
  </si>
  <si>
    <t xml:space="preserve">Punkte) klassifizieren </t>
  </si>
  <si>
    <t xml:space="preserve">0: das Kreuzprodukt; falls dieses den Wert 0 hat, sind die beiden Diskr.funktionen orthogonal </t>
  </si>
  <si>
    <t>Var_pooled</t>
  </si>
  <si>
    <t>S_pooled</t>
  </si>
  <si>
    <r>
      <t>(18-3 weil 3 Gruppen) (</t>
    </r>
    <r>
      <rPr>
        <i/>
        <sz val="10"/>
        <rFont val="Arial"/>
        <family val="2"/>
      </rPr>
      <t>keine Ahnung von was die 18 kam)</t>
    </r>
  </si>
  <si>
    <t>Diskriminanzanalyse geöffnet: Klassifikation -&gt; Klassifikationsfunktionen -&gt; In Excel einfügen</t>
  </si>
  <si>
    <t>d) Klassifikationsfunktion bei Gleichwahrscheinlichkeit aus Statistica: (mit benutzerdefinierten Wskten ist es in statistica ein wenig anders)</t>
  </si>
  <si>
    <t>analyse gleich. (bei unterschiedlichen a prioris unterschiedl. Klassifikation)</t>
  </si>
  <si>
    <t>Hinweis 1:</t>
  </si>
  <si>
    <t>Hinweis 2:</t>
  </si>
  <si>
    <t>iteratives Vorgehen bei der Diskriminanzanalyse:</t>
  </si>
  <si>
    <t>in statistica nur die variablen eingeben, die "gut" sind (also nicht alle 3)</t>
  </si>
  <si>
    <t>(aber erst, nachdem man alle variablen mal eingeworfen &amp; beurteilt hat)</t>
  </si>
  <si>
    <t xml:space="preserve">&gt;&gt; dann die werte der diskr.analyse anschauen, wenn nur noch 2 var berücksichtigt sind </t>
  </si>
  <si>
    <t>eine Variable entfernen:</t>
  </si>
  <si>
    <t xml:space="preserve">weiter klicken &gt; die variable, die am besten trennt, wird in die berechnungen aufgenommen </t>
  </si>
  <si>
    <t xml:space="preserve">statistica sagt einem dann auch, wie viele schritte man machen kann/soll, damit das system nicht redundant ist </t>
  </si>
  <si>
    <t>&gt; hilft einem, schnell rauszubekommen, welche var gut/ schlecht sind /wirksam diskriminieren &gt;&gt; damit kann man dann entsprechend die klassifikation machen (nur 2 koeffizienten usw.)</t>
  </si>
  <si>
    <t>in Statistica: ergebnisse-für jeden Schritt</t>
  </si>
  <si>
    <r>
      <t xml:space="preserve">schrittweise analyse (schrittweise vorwärts) </t>
    </r>
    <r>
      <rPr>
        <b/>
        <sz val="10"/>
        <color indexed="10"/>
        <rFont val="Arial"/>
        <family val="2"/>
      </rPr>
      <t>&gt;&gt; Klausur</t>
    </r>
  </si>
  <si>
    <t>Hotelling's T</t>
  </si>
  <si>
    <t>Unterscheiden sich die Gruppenzentroide (Gruppen- MW) signifikant?</t>
  </si>
  <si>
    <t>Annahme: homogene VarianzCovarianzMatrizen - ansonsten muss man VarianzCovarianzMatrix_pooled verwenden (für jede Gruppe einzeln berechnen)</t>
  </si>
  <si>
    <t>T²</t>
  </si>
  <si>
    <t>df_zähler</t>
  </si>
  <si>
    <t>df_nenner</t>
  </si>
  <si>
    <t>Vorfaktor (adf)</t>
  </si>
  <si>
    <t>kritisches T²</t>
  </si>
  <si>
    <t>empirischer F-Wert</t>
  </si>
  <si>
    <t>Decision</t>
  </si>
  <si>
    <t xml:space="preserve">ist vorgegeben </t>
  </si>
  <si>
    <t>Anzahl der Variablen</t>
  </si>
  <si>
    <t>Anzahl der Personen in den Gruppen minus Anzahl Variablen minus 1</t>
  </si>
  <si>
    <t>Der Faktor, der vor dem F-Wert in der Formel steht - dort sieht man auch wie df berechnet werden</t>
  </si>
  <si>
    <t>Wenn T² größer als T²_krit dann H0 verwerfen (der T² Wert muss größer werden als dieser Wert)</t>
  </si>
  <si>
    <t xml:space="preserve">Hatten wir auf der vorherigen Seite schon berechnet </t>
  </si>
  <si>
    <t>Es geht auch 1-F.Vert</t>
  </si>
  <si>
    <t>p-Wert (Überschreitungs-WK)</t>
  </si>
  <si>
    <t>Die Überschreitungswahrscheinlichkeit ist klar über 5%, man kann die H0 nicht verwerfen.</t>
  </si>
  <si>
    <t>c) Unterscheiden sich die Gruppenzentroide von G2 und G3 signifikant?</t>
  </si>
  <si>
    <t>b) Unterscheiden sich die Gruppenzentroide von G1 und G3 signifikant?</t>
  </si>
  <si>
    <t>a) Unterscheiden sich die Gruppenzentroide von G1 und G2 signifikant?</t>
  </si>
  <si>
    <t>Die Überschreitungswahrscheinlichkeit ist unter 5%, man kann die H0 verwerfen.</t>
  </si>
  <si>
    <t>Meinhardt Komplett</t>
  </si>
  <si>
    <t>Aufgabe 12: Bestimmen Sie, ob sich die Zentroide der drei Gruppen signifikant unterscheiden.</t>
  </si>
  <si>
    <t>Aufgabe 11: Vergleichen Sie beide Klassifikationen: Liefern sie andere oder identische Ergebnisse?</t>
  </si>
  <si>
    <t>Aufgabe 10: Klassifizieren Sie die Fälle in Gruppen unter Verwendung der QCR Klassifikation (Nehmen Sie gleichwahrscheinlichkeit der Gruppen an).</t>
  </si>
  <si>
    <t>Aufgabe 9: Klassifizieren Sie die Fälle in Gruppen unter der Nutzung der Diskriminanz-Klassifikationsfunktionen für jede Gruppe</t>
  </si>
  <si>
    <t>Aufgabe 8: Prüfen Sie ob die Diskrimanzfunktionen wechselseitig orthogonal sind!</t>
  </si>
  <si>
    <t>Aufgabe 7: Bestimmen Sie die kanonischen Werte der Personen und stellen Sie diese in einem Plot dar (Aufgabe zuvor)</t>
  </si>
  <si>
    <t>Kanonische Werte = Werte auf den Diskriminanzfunktionen</t>
  </si>
  <si>
    <t>Aufgabe 6: Was bedeuten die signifikanten Diskriminanzfunktionen inhaltlich, d.h. welche Diskriminanzfunktion wird von welchen Variablen bestimmt? (Interpretieren Sie die Faktorenstruktur</t>
  </si>
  <si>
    <t>Matrix)</t>
  </si>
  <si>
    <t>das hier ist eine 1 Spalten 2 Zeilen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</si>
</sst>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"/>
    <numFmt numFmtId="166" formatCode="0.00000"/>
    <numFmt numFmtId="167" formatCode="0.000000"/>
    <numFmt numFmtId="168" formatCode="#,##0.000"/>
    <numFmt numFmtId="169" formatCode="0.0000000"/>
    <numFmt numFmtId="170" formatCode="0.00000000"/>
    <numFmt numFmtId="171" formatCode="0.000000000"/>
    <numFmt numFmtId="172" formatCode="#,##0.00\ &quot;€&quot;"/>
    <numFmt numFmtId="173" formatCode="#,##0.000\ &quot;€&quot;"/>
  </numFmts>
  <fonts count="59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color indexed="9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color indexed="4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1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Arial "/>
    </font>
    <font>
      <b/>
      <sz val="10"/>
      <name val="Arial "/>
    </font>
    <font>
      <sz val="10"/>
      <color indexed="8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indexed="9"/>
      <name val="Symbol"/>
      <family val="1"/>
      <charset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</borders>
  <cellStyleXfs count="47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" fillId="11" borderId="0"/>
    <xf numFmtId="0" fontId="5" fillId="11" borderId="0"/>
    <xf numFmtId="0" fontId="5" fillId="11" borderId="0"/>
    <xf numFmtId="0" fontId="10" fillId="12" borderId="1" applyNumberFormat="0" applyAlignment="0" applyProtection="0"/>
    <xf numFmtId="0" fontId="1" fillId="13" borderId="2"/>
    <xf numFmtId="0" fontId="5" fillId="14" borderId="34"/>
    <xf numFmtId="0" fontId="5" fillId="13" borderId="2"/>
    <xf numFmtId="0" fontId="11" fillId="12" borderId="4" applyNumberFormat="0" applyAlignment="0" applyProtection="0"/>
    <xf numFmtId="2" fontId="25" fillId="15" borderId="0"/>
    <xf numFmtId="168" fontId="47" fillId="16" borderId="0"/>
    <xf numFmtId="0" fontId="26" fillId="17" borderId="0">
      <alignment horizontal="center"/>
    </xf>
    <xf numFmtId="4" fontId="47" fillId="14" borderId="0"/>
    <xf numFmtId="0" fontId="12" fillId="4" borderId="4" applyNumberFormat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3" fillId="17" borderId="0"/>
    <xf numFmtId="0" fontId="5" fillId="24" borderId="0"/>
    <xf numFmtId="0" fontId="16" fillId="19" borderId="0" applyNumberFormat="0" applyBorder="0" applyAlignment="0" applyProtection="0"/>
    <xf numFmtId="0" fontId="8" fillId="20" borderId="3" applyNumberFormat="0" applyFont="0" applyAlignment="0" applyProtection="0"/>
    <xf numFmtId="9" fontId="1" fillId="0" borderId="0" applyFont="0" applyFill="0" applyBorder="0" applyAlignment="0" applyProtection="0"/>
    <xf numFmtId="0" fontId="5" fillId="15" borderId="34"/>
    <xf numFmtId="0" fontId="5" fillId="15" borderId="0"/>
    <xf numFmtId="0" fontId="5" fillId="15" borderId="6"/>
    <xf numFmtId="0" fontId="17" fillId="2" borderId="0" applyNumberFormat="0" applyBorder="0" applyAlignment="0" applyProtection="0"/>
    <xf numFmtId="0" fontId="46" fillId="18" borderId="0"/>
    <xf numFmtId="0" fontId="5" fillId="0" borderId="0"/>
    <xf numFmtId="0" fontId="5" fillId="0" borderId="0"/>
    <xf numFmtId="0" fontId="5" fillId="0" borderId="0"/>
    <xf numFmtId="0" fontId="4" fillId="21" borderId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11" applyNumberFormat="0" applyAlignment="0" applyProtection="0"/>
    <xf numFmtId="164" fontId="46" fillId="15" borderId="0"/>
    <xf numFmtId="164" fontId="46" fillId="13" borderId="0"/>
  </cellStyleXfs>
  <cellXfs count="264">
    <xf numFmtId="0" fontId="0" fillId="0" borderId="0" xfId="0"/>
    <xf numFmtId="0" fontId="0" fillId="0" borderId="0" xfId="0" applyBorder="1"/>
    <xf numFmtId="0" fontId="5" fillId="14" borderId="34" xfId="12"/>
    <xf numFmtId="0" fontId="28" fillId="25" borderId="0" xfId="0" applyFont="1" applyFill="1" applyAlignment="1">
      <alignment horizontal="center"/>
    </xf>
    <xf numFmtId="0" fontId="29" fillId="25" borderId="0" xfId="0" applyFont="1" applyFill="1" applyAlignment="1">
      <alignment horizontal="center"/>
    </xf>
    <xf numFmtId="0" fontId="27" fillId="25" borderId="0" xfId="0" applyFont="1" applyFill="1" applyAlignment="1">
      <alignment horizontal="center"/>
    </xf>
    <xf numFmtId="0" fontId="3" fillId="17" borderId="0" xfId="23"/>
    <xf numFmtId="0" fontId="5" fillId="24" borderId="0" xfId="24"/>
    <xf numFmtId="0" fontId="5" fillId="15" borderId="34" xfId="28"/>
    <xf numFmtId="0" fontId="5" fillId="0" borderId="0" xfId="0" applyFont="1"/>
    <xf numFmtId="0" fontId="2" fillId="23" borderId="0" xfId="0" applyFont="1" applyFill="1"/>
    <xf numFmtId="0" fontId="7" fillId="23" borderId="0" xfId="0" applyFont="1" applyFill="1"/>
    <xf numFmtId="0" fontId="0" fillId="0" borderId="0" xfId="0" quotePrefix="1"/>
    <xf numFmtId="0" fontId="3" fillId="0" borderId="0" xfId="0" applyFont="1" applyFill="1"/>
    <xf numFmtId="0" fontId="0" fillId="0" borderId="0" xfId="0" applyFill="1"/>
    <xf numFmtId="0" fontId="4" fillId="21" borderId="0" xfId="36"/>
    <xf numFmtId="0" fontId="5" fillId="11" borderId="0" xfId="8"/>
    <xf numFmtId="0" fontId="1" fillId="11" borderId="0" xfId="7"/>
    <xf numFmtId="0" fontId="0" fillId="11" borderId="0" xfId="7" applyFont="1"/>
    <xf numFmtId="0" fontId="0" fillId="0" borderId="0" xfId="0" applyFill="1" applyBorder="1"/>
    <xf numFmtId="0" fontId="54" fillId="0" borderId="0" xfId="0" applyFont="1" applyBorder="1"/>
    <xf numFmtId="0" fontId="5" fillId="0" borderId="0" xfId="33"/>
    <xf numFmtId="0" fontId="5" fillId="15" borderId="6" xfId="30"/>
    <xf numFmtId="0" fontId="30" fillId="14" borderId="34" xfId="12" applyFont="1"/>
    <xf numFmtId="0" fontId="5" fillId="11" borderId="0" xfId="7" applyFont="1"/>
    <xf numFmtId="0" fontId="0" fillId="0" borderId="0" xfId="0" quotePrefix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quotePrefix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4" fillId="0" borderId="0" xfId="0" quotePrefix="1" applyFont="1"/>
    <xf numFmtId="0" fontId="55" fillId="0" borderId="0" xfId="0" applyFont="1"/>
    <xf numFmtId="0" fontId="5" fillId="14" borderId="35" xfId="12" applyBorder="1"/>
    <xf numFmtId="0" fontId="5" fillId="14" borderId="34" xfId="12" applyBorder="1"/>
    <xf numFmtId="0" fontId="5" fillId="14" borderId="36" xfId="12" applyBorder="1"/>
    <xf numFmtId="0" fontId="5" fillId="14" borderId="37" xfId="12" applyBorder="1"/>
    <xf numFmtId="0" fontId="5" fillId="14" borderId="38" xfId="12" applyBorder="1"/>
    <xf numFmtId="0" fontId="5" fillId="14" borderId="39" xfId="12" applyBorder="1"/>
    <xf numFmtId="0" fontId="5" fillId="15" borderId="12" xfId="30" applyBorder="1"/>
    <xf numFmtId="0" fontId="5" fillId="15" borderId="13" xfId="30" applyBorder="1"/>
    <xf numFmtId="0" fontId="5" fillId="15" borderId="14" xfId="30" applyBorder="1"/>
    <xf numFmtId="0" fontId="5" fillId="15" borderId="15" xfId="30" applyBorder="1"/>
    <xf numFmtId="0" fontId="5" fillId="14" borderId="40" xfId="12" applyBorder="1"/>
    <xf numFmtId="0" fontId="5" fillId="14" borderId="41" xfId="12" applyBorder="1"/>
    <xf numFmtId="0" fontId="5" fillId="15" borderId="16" xfId="30" applyBorder="1"/>
    <xf numFmtId="0" fontId="5" fillId="15" borderId="17" xfId="30" applyBorder="1"/>
    <xf numFmtId="0" fontId="5" fillId="15" borderId="18" xfId="30" applyBorder="1"/>
    <xf numFmtId="0" fontId="5" fillId="14" borderId="42" xfId="12" applyBorder="1"/>
    <xf numFmtId="0" fontId="5" fillId="14" borderId="43" xfId="12" applyBorder="1"/>
    <xf numFmtId="0" fontId="5" fillId="15" borderId="19" xfId="30" applyBorder="1"/>
    <xf numFmtId="0" fontId="5" fillId="15" borderId="20" xfId="30" applyBorder="1"/>
    <xf numFmtId="0" fontId="5" fillId="15" borderId="21" xfId="30" applyBorder="1"/>
    <xf numFmtId="0" fontId="5" fillId="15" borderId="44" xfId="28" applyBorder="1"/>
    <xf numFmtId="0" fontId="5" fillId="15" borderId="45" xfId="28" applyBorder="1"/>
    <xf numFmtId="0" fontId="5" fillId="15" borderId="46" xfId="28" applyBorder="1"/>
    <xf numFmtId="0" fontId="5" fillId="15" borderId="35" xfId="28" applyBorder="1"/>
    <xf numFmtId="0" fontId="5" fillId="15" borderId="34" xfId="28" applyBorder="1"/>
    <xf numFmtId="0" fontId="5" fillId="15" borderId="36" xfId="28" applyBorder="1"/>
    <xf numFmtId="0" fontId="5" fillId="15" borderId="37" xfId="28" applyBorder="1"/>
    <xf numFmtId="0" fontId="5" fillId="15" borderId="38" xfId="28" applyBorder="1"/>
    <xf numFmtId="0" fontId="5" fillId="15" borderId="39" xfId="28" applyBorder="1"/>
    <xf numFmtId="0" fontId="5" fillId="15" borderId="47" xfId="28" applyBorder="1"/>
    <xf numFmtId="0" fontId="5" fillId="15" borderId="40" xfId="28" applyBorder="1"/>
    <xf numFmtId="0" fontId="5" fillId="15" borderId="41" xfId="28" applyBorder="1"/>
    <xf numFmtId="0" fontId="5" fillId="15" borderId="48" xfId="28" applyBorder="1"/>
    <xf numFmtId="0" fontId="5" fillId="15" borderId="42" xfId="28" applyBorder="1"/>
    <xf numFmtId="0" fontId="5" fillId="15" borderId="43" xfId="28" applyBorder="1"/>
    <xf numFmtId="0" fontId="54" fillId="0" borderId="0" xfId="0" applyFont="1"/>
    <xf numFmtId="0" fontId="56" fillId="0" borderId="0" xfId="0" applyFont="1"/>
    <xf numFmtId="0" fontId="6" fillId="0" borderId="0" xfId="0" applyFont="1" applyFill="1"/>
    <xf numFmtId="0" fontId="5" fillId="14" borderId="44" xfId="12" applyBorder="1"/>
    <xf numFmtId="0" fontId="5" fillId="14" borderId="45" xfId="12" applyBorder="1"/>
    <xf numFmtId="0" fontId="5" fillId="14" borderId="46" xfId="12" applyBorder="1"/>
    <xf numFmtId="0" fontId="5" fillId="14" borderId="37" xfId="12" quotePrefix="1" applyBorder="1"/>
    <xf numFmtId="0" fontId="5" fillId="14" borderId="35" xfId="12" quotePrefix="1" applyBorder="1"/>
    <xf numFmtId="0" fontId="5" fillId="14" borderId="47" xfId="12" applyBorder="1"/>
    <xf numFmtId="0" fontId="5" fillId="14" borderId="22" xfId="12" applyBorder="1" applyAlignment="1">
      <alignment horizontal="center" vertical="center" wrapText="1"/>
    </xf>
    <xf numFmtId="0" fontId="5" fillId="14" borderId="23" xfId="12" applyBorder="1" applyAlignment="1">
      <alignment horizontal="center" vertical="center" wrapText="1"/>
    </xf>
    <xf numFmtId="0" fontId="5" fillId="14" borderId="24" xfId="12" applyBorder="1" applyAlignment="1">
      <alignment horizontal="center" vertical="center" wrapText="1"/>
    </xf>
    <xf numFmtId="0" fontId="5" fillId="14" borderId="25" xfId="12" applyBorder="1" applyAlignment="1">
      <alignment horizontal="center" vertical="center" wrapText="1"/>
    </xf>
    <xf numFmtId="0" fontId="5" fillId="14" borderId="0" xfId="12" applyBorder="1"/>
    <xf numFmtId="0" fontId="5" fillId="14" borderId="22" xfId="12" applyBorder="1"/>
    <xf numFmtId="0" fontId="5" fillId="14" borderId="23" xfId="12" applyBorder="1"/>
    <xf numFmtId="0" fontId="5" fillId="14" borderId="26" xfId="12" applyBorder="1"/>
    <xf numFmtId="0" fontId="5" fillId="14" borderId="27" xfId="12" applyBorder="1"/>
    <xf numFmtId="0" fontId="5" fillId="14" borderId="28" xfId="12" applyBorder="1"/>
    <xf numFmtId="0" fontId="5" fillId="14" borderId="27" xfId="12" quotePrefix="1" applyBorder="1"/>
    <xf numFmtId="0" fontId="5" fillId="14" borderId="27" xfId="12" applyBorder="1" applyAlignment="1">
      <alignment vertical="center"/>
    </xf>
    <xf numFmtId="0" fontId="5" fillId="14" borderId="24" xfId="12" applyBorder="1" applyAlignment="1">
      <alignment vertical="center"/>
    </xf>
    <xf numFmtId="0" fontId="5" fillId="14" borderId="25" xfId="12" applyBorder="1"/>
    <xf numFmtId="0" fontId="5" fillId="14" borderId="29" xfId="12" applyBorder="1"/>
    <xf numFmtId="0" fontId="5" fillId="24" borderId="22" xfId="24" applyBorder="1"/>
    <xf numFmtId="0" fontId="5" fillId="24" borderId="26" xfId="24" applyBorder="1"/>
    <xf numFmtId="0" fontId="5" fillId="24" borderId="29" xfId="24" applyBorder="1"/>
    <xf numFmtId="0" fontId="5" fillId="24" borderId="0" xfId="24" applyBorder="1"/>
    <xf numFmtId="0" fontId="0" fillId="26" borderId="0" xfId="0" applyFill="1"/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0" fontId="5" fillId="15" borderId="34" xfId="28" quotePrefix="1"/>
    <xf numFmtId="0" fontId="5" fillId="24" borderId="0" xfId="24"/>
    <xf numFmtId="0" fontId="41" fillId="0" borderId="0" xfId="34" applyNumberFormat="1" applyFont="1" applyAlignment="1">
      <alignment horizontal="left" vertical="top"/>
    </xf>
    <xf numFmtId="0" fontId="5" fillId="0" borderId="0" xfId="34"/>
    <xf numFmtId="0" fontId="41" fillId="0" borderId="0" xfId="34" applyNumberFormat="1" applyFont="1" applyAlignment="1">
      <alignment vertical="top"/>
    </xf>
    <xf numFmtId="0" fontId="5" fillId="0" borderId="0" xfId="34" applyAlignment="1"/>
    <xf numFmtId="0" fontId="3" fillId="17" borderId="0" xfId="23" applyAlignment="1">
      <alignment horizontal="center"/>
    </xf>
    <xf numFmtId="0" fontId="5" fillId="14" borderId="48" xfId="12" applyBorder="1"/>
    <xf numFmtId="0" fontId="5" fillId="14" borderId="34" xfId="12" quotePrefix="1"/>
    <xf numFmtId="0" fontId="57" fillId="15" borderId="44" xfId="28" applyFont="1" applyBorder="1"/>
    <xf numFmtId="0" fontId="57" fillId="15" borderId="45" xfId="28" applyFont="1" applyBorder="1"/>
    <xf numFmtId="0" fontId="57" fillId="15" borderId="46" xfId="28" applyFont="1" applyBorder="1"/>
    <xf numFmtId="0" fontId="57" fillId="15" borderId="35" xfId="28" applyFont="1" applyBorder="1"/>
    <xf numFmtId="0" fontId="57" fillId="15" borderId="34" xfId="28" applyFont="1" applyBorder="1"/>
    <xf numFmtId="0" fontId="57" fillId="15" borderId="36" xfId="28" applyFont="1" applyBorder="1"/>
    <xf numFmtId="0" fontId="57" fillId="15" borderId="37" xfId="28" applyFont="1" applyBorder="1"/>
    <xf numFmtId="0" fontId="57" fillId="15" borderId="38" xfId="28" applyFont="1" applyBorder="1"/>
    <xf numFmtId="0" fontId="57" fillId="15" borderId="39" xfId="28" applyFont="1" applyBorder="1"/>
    <xf numFmtId="0" fontId="3" fillId="17" borderId="30" xfId="23" applyBorder="1" applyAlignment="1">
      <alignment horizontal="center"/>
    </xf>
    <xf numFmtId="0" fontId="3" fillId="17" borderId="22" xfId="23" applyBorder="1" applyAlignment="1">
      <alignment horizontal="center"/>
    </xf>
    <xf numFmtId="0" fontId="3" fillId="17" borderId="23" xfId="23" applyBorder="1" applyAlignment="1">
      <alignment horizontal="center"/>
    </xf>
    <xf numFmtId="0" fontId="3" fillId="17" borderId="31" xfId="23" applyBorder="1"/>
    <xf numFmtId="0" fontId="5" fillId="15" borderId="49" xfId="28" applyBorder="1"/>
    <xf numFmtId="171" fontId="5" fillId="15" borderId="34" xfId="28" applyNumberFormat="1"/>
    <xf numFmtId="0" fontId="3" fillId="17" borderId="0" xfId="23" applyBorder="1"/>
    <xf numFmtId="170" fontId="5" fillId="15" borderId="34" xfId="28" applyNumberFormat="1"/>
    <xf numFmtId="0" fontId="5" fillId="24" borderId="0" xfId="24"/>
    <xf numFmtId="0" fontId="41" fillId="0" borderId="0" xfId="35" applyNumberFormat="1" applyFont="1" applyAlignment="1">
      <alignment horizontal="left" vertical="top"/>
    </xf>
    <xf numFmtId="0" fontId="41" fillId="0" borderId="0" xfId="35" applyNumberFormat="1" applyFont="1" applyFill="1" applyAlignment="1">
      <alignment horizontal="left" vertical="center"/>
    </xf>
    <xf numFmtId="0" fontId="41" fillId="0" borderId="0" xfId="0" applyNumberFormat="1" applyFont="1" applyAlignment="1">
      <alignment horizontal="left" vertical="center"/>
    </xf>
    <xf numFmtId="0" fontId="41" fillId="0" borderId="0" xfId="35" applyNumberFormat="1" applyFont="1" applyFill="1" applyAlignment="1">
      <alignment vertical="center"/>
    </xf>
    <xf numFmtId="0" fontId="5" fillId="11" borderId="0" xfId="9"/>
    <xf numFmtId="2" fontId="5" fillId="15" borderId="6" xfId="30" applyNumberFormat="1"/>
    <xf numFmtId="169" fontId="5" fillId="15" borderId="32" xfId="28" applyNumberFormat="1" applyBorder="1"/>
    <xf numFmtId="0" fontId="5" fillId="24" borderId="0" xfId="24" quotePrefix="1"/>
    <xf numFmtId="0" fontId="3" fillId="17" borderId="0" xfId="23" quotePrefix="1"/>
    <xf numFmtId="0" fontId="5" fillId="0" borderId="0" xfId="35" applyAlignment="1"/>
    <xf numFmtId="0" fontId="0" fillId="0" borderId="0" xfId="0" applyAlignment="1"/>
    <xf numFmtId="167" fontId="5" fillId="15" borderId="6" xfId="30" applyNumberFormat="1"/>
    <xf numFmtId="170" fontId="5" fillId="15" borderId="6" xfId="30" applyNumberFormat="1"/>
    <xf numFmtId="0" fontId="43" fillId="0" borderId="0" xfId="0" applyNumberFormat="1" applyFont="1" applyAlignment="1">
      <alignment vertical="top"/>
    </xf>
    <xf numFmtId="0" fontId="41" fillId="0" borderId="0" xfId="35" applyNumberFormat="1" applyFont="1" applyAlignment="1">
      <alignment vertical="top"/>
    </xf>
    <xf numFmtId="0" fontId="1" fillId="11" borderId="0" xfId="7" quotePrefix="1"/>
    <xf numFmtId="0" fontId="5" fillId="24" borderId="0" xfId="24"/>
    <xf numFmtId="10" fontId="5" fillId="15" borderId="6" xfId="27" applyNumberFormat="1" applyFont="1" applyFill="1" applyBorder="1"/>
    <xf numFmtId="0" fontId="41" fillId="0" borderId="0" xfId="35" applyNumberFormat="1" applyFont="1" applyAlignment="1">
      <alignment horizontal="left" vertical="center"/>
    </xf>
    <xf numFmtId="167" fontId="41" fillId="0" borderId="0" xfId="35" applyNumberFormat="1" applyFont="1" applyAlignment="1">
      <alignment horizontal="right" vertical="center"/>
    </xf>
    <xf numFmtId="167" fontId="44" fillId="0" borderId="0" xfId="35" applyNumberFormat="1" applyFont="1" applyAlignment="1">
      <alignment horizontal="right" vertical="center"/>
    </xf>
    <xf numFmtId="164" fontId="0" fillId="0" borderId="0" xfId="0" applyNumberFormat="1"/>
    <xf numFmtId="170" fontId="5" fillId="15" borderId="33" xfId="30" applyNumberFormat="1" applyBorder="1"/>
    <xf numFmtId="170" fontId="5" fillId="15" borderId="0" xfId="30" applyNumberFormat="1" applyBorder="1"/>
    <xf numFmtId="0" fontId="5" fillId="15" borderId="50" xfId="28" applyBorder="1"/>
    <xf numFmtId="0" fontId="5" fillId="15" borderId="0" xfId="28" applyBorder="1"/>
    <xf numFmtId="0" fontId="57" fillId="15" borderId="34" xfId="28" applyFont="1"/>
    <xf numFmtId="0" fontId="5" fillId="24" borderId="0" xfId="24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11" borderId="0" xfId="7" quotePrefix="1" applyFont="1"/>
    <xf numFmtId="0" fontId="5" fillId="24" borderId="0" xfId="24"/>
    <xf numFmtId="0" fontId="3" fillId="17" borderId="32" xfId="23" applyBorder="1" applyAlignment="1">
      <alignment horizontal="center"/>
    </xf>
    <xf numFmtId="0" fontId="5" fillId="14" borderId="48" xfId="12" applyBorder="1" applyAlignment="1">
      <alignment horizontal="center"/>
    </xf>
    <xf numFmtId="0" fontId="5" fillId="14" borderId="43" xfId="12" applyBorder="1" applyAlignment="1">
      <alignment horizontal="center"/>
    </xf>
    <xf numFmtId="0" fontId="5" fillId="15" borderId="21" xfId="28" applyBorder="1"/>
    <xf numFmtId="0" fontId="5" fillId="14" borderId="34" xfId="12"/>
    <xf numFmtId="0" fontId="5" fillId="14" borderId="34" xfId="12"/>
    <xf numFmtId="0" fontId="25" fillId="0" borderId="0" xfId="0" applyFont="1"/>
    <xf numFmtId="0" fontId="58" fillId="0" borderId="0" xfId="0" applyFont="1"/>
    <xf numFmtId="164" fontId="5" fillId="15" borderId="34" xfId="28" applyNumberFormat="1"/>
    <xf numFmtId="0" fontId="5" fillId="15" borderId="51" xfId="28" applyBorder="1"/>
    <xf numFmtId="0" fontId="5" fillId="15" borderId="52" xfId="28" applyBorder="1"/>
    <xf numFmtId="0" fontId="5" fillId="15" borderId="53" xfId="28" applyBorder="1"/>
    <xf numFmtId="164" fontId="5" fillId="14" borderId="34" xfId="12" applyNumberFormat="1"/>
    <xf numFmtId="9" fontId="5" fillId="15" borderId="34" xfId="27" applyFont="1" applyFill="1" applyBorder="1"/>
    <xf numFmtId="10" fontId="5" fillId="15" borderId="34" xfId="27" applyNumberFormat="1" applyFont="1" applyFill="1" applyBorder="1"/>
    <xf numFmtId="0" fontId="5" fillId="15" borderId="34" xfId="28" applyFont="1"/>
    <xf numFmtId="0" fontId="5" fillId="15" borderId="34" xfId="28" applyAlignment="1">
      <alignment horizontal="center"/>
    </xf>
    <xf numFmtId="0" fontId="5" fillId="24" borderId="0" xfId="24"/>
    <xf numFmtId="0" fontId="5" fillId="14" borderId="34" xfId="12"/>
    <xf numFmtId="166" fontId="5" fillId="15" borderId="48" xfId="28" applyNumberFormat="1" applyBorder="1"/>
    <xf numFmtId="166" fontId="5" fillId="15" borderId="51" xfId="28" applyNumberFormat="1" applyBorder="1"/>
    <xf numFmtId="166" fontId="5" fillId="15" borderId="34" xfId="28" applyNumberFormat="1"/>
    <xf numFmtId="166" fontId="5" fillId="15" borderId="42" xfId="28" applyNumberFormat="1" applyBorder="1"/>
    <xf numFmtId="166" fontId="5" fillId="15" borderId="43" xfId="28" applyNumberFormat="1" applyBorder="1"/>
    <xf numFmtId="166" fontId="5" fillId="15" borderId="53" xfId="28" applyNumberFormat="1" applyBorder="1"/>
    <xf numFmtId="166" fontId="5" fillId="15" borderId="52" xfId="28" applyNumberFormat="1" applyBorder="1"/>
    <xf numFmtId="166" fontId="5" fillId="15" borderId="40" xfId="28" applyNumberFormat="1" applyBorder="1"/>
    <xf numFmtId="1" fontId="5" fillId="15" borderId="48" xfId="28" applyNumberFormat="1" applyBorder="1"/>
    <xf numFmtId="1" fontId="5" fillId="15" borderId="51" xfId="28" applyNumberFormat="1" applyBorder="1"/>
    <xf numFmtId="1" fontId="5" fillId="15" borderId="34" xfId="28" applyNumberFormat="1"/>
    <xf numFmtId="1" fontId="5" fillId="15" borderId="42" xfId="28" applyNumberFormat="1" applyBorder="1"/>
    <xf numFmtId="1" fontId="5" fillId="15" borderId="43" xfId="28" applyNumberFormat="1" applyBorder="1"/>
    <xf numFmtId="1" fontId="5" fillId="15" borderId="53" xfId="28" applyNumberFormat="1" applyBorder="1"/>
    <xf numFmtId="1" fontId="5" fillId="15" borderId="52" xfId="28" applyNumberFormat="1" applyBorder="1"/>
    <xf numFmtId="1" fontId="5" fillId="15" borderId="40" xfId="28" applyNumberFormat="1" applyBorder="1"/>
    <xf numFmtId="0" fontId="5" fillId="24" borderId="0" xfId="24"/>
    <xf numFmtId="0" fontId="5" fillId="14" borderId="34" xfId="12"/>
    <xf numFmtId="0" fontId="5" fillId="24" borderId="0" xfId="24"/>
    <xf numFmtId="0" fontId="5" fillId="14" borderId="34" xfId="12"/>
    <xf numFmtId="172" fontId="5" fillId="14" borderId="34" xfId="12" applyNumberFormat="1"/>
    <xf numFmtId="0" fontId="30" fillId="24" borderId="0" xfId="24" applyFont="1"/>
    <xf numFmtId="2" fontId="5" fillId="14" borderId="34" xfId="12" applyNumberFormat="1"/>
    <xf numFmtId="173" fontId="5" fillId="15" borderId="34" xfId="28" applyNumberFormat="1"/>
    <xf numFmtId="172" fontId="5" fillId="15" borderId="34" xfId="28" applyNumberFormat="1"/>
    <xf numFmtId="164" fontId="5" fillId="15" borderId="50" xfId="28" applyNumberFormat="1" applyBorder="1"/>
    <xf numFmtId="0" fontId="5" fillId="24" borderId="23" xfId="24" applyBorder="1"/>
    <xf numFmtId="164" fontId="5" fillId="15" borderId="45" xfId="28" applyNumberFormat="1" applyBorder="1"/>
    <xf numFmtId="0" fontId="5" fillId="14" borderId="50" xfId="12" applyBorder="1"/>
    <xf numFmtId="0" fontId="5" fillId="24" borderId="0" xfId="24"/>
    <xf numFmtId="0" fontId="5" fillId="14" borderId="34" xfId="12"/>
    <xf numFmtId="10" fontId="5" fillId="15" borderId="34" xfId="28" applyNumberFormat="1"/>
    <xf numFmtId="0" fontId="5" fillId="24" borderId="0" xfId="24"/>
    <xf numFmtId="0" fontId="5" fillId="24" borderId="27" xfId="24" applyBorder="1"/>
    <xf numFmtId="0" fontId="5" fillId="24" borderId="24" xfId="24" applyBorder="1"/>
    <xf numFmtId="165" fontId="5" fillId="14" borderId="48" xfId="12" applyNumberFormat="1" applyBorder="1"/>
    <xf numFmtId="165" fontId="5" fillId="14" borderId="42" xfId="12" applyNumberFormat="1" applyBorder="1"/>
    <xf numFmtId="165" fontId="5" fillId="14" borderId="43" xfId="12" applyNumberFormat="1" applyBorder="1"/>
    <xf numFmtId="165" fontId="5" fillId="14" borderId="54" xfId="12" applyNumberFormat="1" applyBorder="1"/>
    <xf numFmtId="165" fontId="5" fillId="14" borderId="55" xfId="12" applyNumberFormat="1" applyBorder="1"/>
    <xf numFmtId="165" fontId="5" fillId="14" borderId="56" xfId="12" applyNumberFormat="1" applyBorder="1"/>
    <xf numFmtId="164" fontId="5" fillId="15" borderId="48" xfId="28" applyNumberFormat="1" applyBorder="1"/>
    <xf numFmtId="164" fontId="5" fillId="15" borderId="42" xfId="28" applyNumberFormat="1" applyBorder="1"/>
    <xf numFmtId="164" fontId="5" fillId="15" borderId="43" xfId="28" applyNumberFormat="1" applyBorder="1"/>
    <xf numFmtId="0" fontId="5" fillId="0" borderId="0" xfId="33" quotePrefix="1"/>
    <xf numFmtId="0" fontId="0" fillId="0" borderId="0" xfId="0" applyAlignment="1">
      <alignment horizontal="left"/>
    </xf>
    <xf numFmtId="164" fontId="57" fillId="14" borderId="34" xfId="12" applyNumberFormat="1" applyFont="1"/>
    <xf numFmtId="0" fontId="5" fillId="0" borderId="0" xfId="0" applyFont="1" applyAlignment="1"/>
    <xf numFmtId="0" fontId="5" fillId="24" borderId="0" xfId="24"/>
    <xf numFmtId="0" fontId="5" fillId="14" borderId="34" xfId="12"/>
    <xf numFmtId="0" fontId="5" fillId="24" borderId="0" xfId="24"/>
    <xf numFmtId="0" fontId="5" fillId="14" borderId="34" xfId="12"/>
    <xf numFmtId="2" fontId="5" fillId="15" borderId="48" xfId="28" applyNumberFormat="1" applyBorder="1"/>
    <xf numFmtId="2" fontId="5" fillId="15" borderId="42" xfId="28" applyNumberFormat="1" applyBorder="1"/>
    <xf numFmtId="2" fontId="5" fillId="15" borderId="43" xfId="28" applyNumberFormat="1" applyBorder="1"/>
    <xf numFmtId="0" fontId="57" fillId="14" borderId="34" xfId="12" applyFont="1"/>
    <xf numFmtId="0" fontId="5" fillId="24" borderId="0" xfId="24"/>
    <xf numFmtId="0" fontId="5" fillId="0" borderId="0" xfId="33" quotePrefix="1" applyFill="1" applyBorder="1"/>
    <xf numFmtId="0" fontId="6" fillId="14" borderId="34" xfId="12" applyFont="1"/>
    <xf numFmtId="0" fontId="5" fillId="0" borderId="34" xfId="12" applyFill="1"/>
    <xf numFmtId="165" fontId="5" fillId="15" borderId="34" xfId="28" applyNumberFormat="1"/>
    <xf numFmtId="0" fontId="5" fillId="24" borderId="0" xfId="24" applyAlignment="1">
      <alignment horizontal="left"/>
    </xf>
    <xf numFmtId="0" fontId="5" fillId="24" borderId="0" xfId="24"/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17" borderId="0" xfId="23" applyAlignment="1">
      <alignment horizontal="center"/>
    </xf>
    <xf numFmtId="0" fontId="41" fillId="0" borderId="0" xfId="34" applyNumberFormat="1" applyFont="1" applyAlignment="1">
      <alignment horizontal="left" vertical="top"/>
    </xf>
    <xf numFmtId="0" fontId="5" fillId="0" borderId="0" xfId="34"/>
    <xf numFmtId="0" fontId="41" fillId="0" borderId="0" xfId="35" applyNumberFormat="1" applyFont="1" applyAlignment="1">
      <alignment horizontal="left" vertical="top"/>
    </xf>
    <xf numFmtId="0" fontId="5" fillId="0" borderId="0" xfId="35"/>
    <xf numFmtId="0" fontId="43" fillId="0" borderId="0" xfId="0" applyNumberFormat="1" applyFont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3" fillId="17" borderId="0" xfId="23"/>
    <xf numFmtId="0" fontId="5" fillId="14" borderId="34" xfId="12"/>
    <xf numFmtId="0" fontId="5" fillId="24" borderId="57" xfId="24" applyBorder="1" applyAlignment="1">
      <alignment horizontal="left" vertical="center" wrapText="1"/>
    </xf>
    <xf numFmtId="0" fontId="5" fillId="24" borderId="0" xfId="24" applyBorder="1" applyAlignment="1">
      <alignment horizontal="left" vertical="center" wrapText="1"/>
    </xf>
    <xf numFmtId="0" fontId="51" fillId="0" borderId="0" xfId="0" applyFont="1" applyBorder="1" applyAlignment="1">
      <alignment horizontal="center"/>
    </xf>
    <xf numFmtId="0" fontId="5" fillId="24" borderId="57" xfId="24" applyBorder="1" applyAlignment="1">
      <alignment horizontal="left" vertical="center"/>
    </xf>
    <xf numFmtId="0" fontId="5" fillId="24" borderId="0" xfId="24" applyAlignment="1">
      <alignment horizontal="left" vertical="center"/>
    </xf>
    <xf numFmtId="0" fontId="5" fillId="24" borderId="0" xfId="24" applyAlignment="1">
      <alignment horizontal="center"/>
    </xf>
    <xf numFmtId="0" fontId="3" fillId="17" borderId="0" xfId="23" applyAlignment="1">
      <alignment horizontal="left"/>
    </xf>
    <xf numFmtId="164" fontId="5" fillId="14" borderId="57" xfId="12" applyNumberFormat="1" applyBorder="1" applyAlignment="1">
      <alignment horizontal="right"/>
    </xf>
    <xf numFmtId="164" fontId="5" fillId="14" borderId="0" xfId="12" applyNumberFormat="1" applyBorder="1" applyAlignment="1">
      <alignment horizontal="right"/>
    </xf>
    <xf numFmtId="0" fontId="0" fillId="0" borderId="0" xfId="0" applyAlignment="1">
      <alignment horizontal="left"/>
    </xf>
  </cellXfs>
  <cellStyles count="4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fgabenstellung" xfId="7" xr:uid="{00000000-0005-0000-0000-000006000000}"/>
    <cellStyle name="Aufgabenstellung 2" xfId="8" xr:uid="{00000000-0005-0000-0000-000007000000}"/>
    <cellStyle name="Aufgabenstellung 3" xfId="9" xr:uid="{00000000-0005-0000-0000-000008000000}"/>
    <cellStyle name="Ausgabe" xfId="10" builtinId="21" customBuiltin="1"/>
    <cellStyle name="Ausgangsdaten" xfId="11" xr:uid="{00000000-0005-0000-0000-00000A000000}"/>
    <cellStyle name="Ausgangsdaten 2" xfId="12" xr:uid="{00000000-0005-0000-0000-00000B000000}"/>
    <cellStyle name="Ausgangsdaten 3" xfId="13" xr:uid="{00000000-0005-0000-0000-00000C000000}"/>
    <cellStyle name="Berechnung" xfId="14" builtinId="22" customBuiltin="1"/>
    <cellStyle name="Calc" xfId="15" xr:uid="{00000000-0005-0000-0000-00000E000000}"/>
    <cellStyle name="CalcErg" xfId="16" xr:uid="{00000000-0005-0000-0000-00000F000000}"/>
    <cellStyle name="ColHead" xfId="17" xr:uid="{00000000-0005-0000-0000-000010000000}"/>
    <cellStyle name="DataEnty" xfId="18" xr:uid="{00000000-0005-0000-0000-000011000000}"/>
    <cellStyle name="Eingabe" xfId="19" builtinId="20" customBuiltin="1"/>
    <cellStyle name="Ergebnis" xfId="20" builtinId="25" customBuiltin="1"/>
    <cellStyle name="Erklärender Text" xfId="21" builtinId="53" customBuiltin="1"/>
    <cellStyle name="Gut" xfId="22" builtinId="26" customBuiltin="1"/>
    <cellStyle name="Heading" xfId="23" xr:uid="{00000000-0005-0000-0000-000016000000}"/>
    <cellStyle name="Hervorhebung" xfId="24" xr:uid="{00000000-0005-0000-0000-000017000000}"/>
    <cellStyle name="Neutral" xfId="25" builtinId="28" customBuiltin="1"/>
    <cellStyle name="Notiz" xfId="26" builtinId="10" customBuiltin="1"/>
    <cellStyle name="Prozent" xfId="27" builtinId="5"/>
    <cellStyle name="Rechnung" xfId="28" xr:uid="{00000000-0005-0000-0000-00001B000000}"/>
    <cellStyle name="Rechnung 2" xfId="29" xr:uid="{00000000-0005-0000-0000-00001C000000}"/>
    <cellStyle name="Rechnung 3" xfId="30" xr:uid="{00000000-0005-0000-0000-00001D000000}"/>
    <cellStyle name="Schlecht" xfId="31" builtinId="27" customBuiltin="1"/>
    <cellStyle name="SemiColHead" xfId="32" xr:uid="{00000000-0005-0000-0000-00001F000000}"/>
    <cellStyle name="Standard" xfId="0" builtinId="0"/>
    <cellStyle name="Standard 2" xfId="33" xr:uid="{00000000-0005-0000-0000-000021000000}"/>
    <cellStyle name="Standard_Eigenwertanalyse (17.11.17" xfId="34" xr:uid="{00000000-0005-0000-0000-000022000000}"/>
    <cellStyle name="Standard_Faktorenanalyse (24.11.17)" xfId="35" xr:uid="{00000000-0005-0000-0000-000023000000}"/>
    <cellStyle name="Strukturierung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  <cellStyle name="ZwischenCalc" xfId="45" xr:uid="{00000000-0005-0000-0000-00002D000000}"/>
    <cellStyle name="ZwischenCalcBF" xfId="46" xr:uid="{00000000-0005-0000-0000-00002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19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966FF"/>
      <rgbColor rgb="0029CCCC"/>
      <rgbColor rgb="0099CC00"/>
      <rgbColor rgb="00FFCC00"/>
      <rgbColor rgb="00FF9900"/>
      <rgbColor rgb="00FF6600"/>
      <rgbColor rgb="00666699"/>
      <rgbColor rgb="00969696"/>
      <rgbColor rgb="00002966"/>
      <rgbColor rgb="00299966"/>
      <rgbColor rgb="00002900"/>
      <rgbColor rgb="00292900"/>
      <rgbColor rgb="00992900"/>
      <rgbColor rgb="00992966"/>
      <rgbColor rgb="00292999"/>
      <rgbColor rgb="0066666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'Faktorenanalyse (24.11.17)'!$C$149</c:f>
              <c:strCache>
                <c:ptCount val="1"/>
                <c:pt idx="0">
                  <c:v>Eigenwert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'Faktorenanalyse (24.11.17)'!$B$150:$B$159</c:f>
              <c:strCache>
                <c:ptCount val="10"/>
                <c:pt idx="0">
                  <c:v>Faktor 1</c:v>
                </c:pt>
                <c:pt idx="1">
                  <c:v>Faktor 2</c:v>
                </c:pt>
                <c:pt idx="2">
                  <c:v>Faktor 3</c:v>
                </c:pt>
                <c:pt idx="3">
                  <c:v>Faktor 4</c:v>
                </c:pt>
                <c:pt idx="4">
                  <c:v>Faktor 5</c:v>
                </c:pt>
                <c:pt idx="5">
                  <c:v>Faktor 6</c:v>
                </c:pt>
                <c:pt idx="6">
                  <c:v>Faktor 7</c:v>
                </c:pt>
                <c:pt idx="7">
                  <c:v>Faktor 8</c:v>
                </c:pt>
                <c:pt idx="8">
                  <c:v>Faktor 9</c:v>
                </c:pt>
                <c:pt idx="9">
                  <c:v>Faktor 10</c:v>
                </c:pt>
              </c:strCache>
            </c:strRef>
          </c:cat>
          <c:val>
            <c:numRef>
              <c:f>'Faktorenanalyse (24.11.17)'!$C$150:$C$159</c:f>
              <c:numCache>
                <c:formatCode>General</c:formatCode>
                <c:ptCount val="10"/>
                <c:pt idx="0">
                  <c:v>5.8183740581007832</c:v>
                </c:pt>
                <c:pt idx="1">
                  <c:v>1.8294182022636241</c:v>
                </c:pt>
                <c:pt idx="2">
                  <c:v>0.76150279479503291</c:v>
                </c:pt>
                <c:pt idx="3">
                  <c:v>0.51007174241929387</c:v>
                </c:pt>
                <c:pt idx="4">
                  <c:v>0.33864537099949099</c:v>
                </c:pt>
                <c:pt idx="5">
                  <c:v>0.25433693369243393</c:v>
                </c:pt>
                <c:pt idx="6">
                  <c:v>0.20697642718233025</c:v>
                </c:pt>
                <c:pt idx="7">
                  <c:v>0.12743422400871551</c:v>
                </c:pt>
                <c:pt idx="8">
                  <c:v>8.8816921350392444E-2</c:v>
                </c:pt>
                <c:pt idx="9">
                  <c:v>6.4423325187906111E-2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7-427A-BBBC-6598239D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368912"/>
        <c:axId val="1"/>
      </c:lineChart>
      <c:catAx>
        <c:axId val="64236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Faktoren</a:t>
                </a:r>
              </a:p>
            </c:rich>
          </c:tx>
          <c:layout>
            <c:manualLayout>
              <c:xMode val="edge"/>
              <c:yMode val="edge"/>
              <c:x val="0.51366537516143818"/>
              <c:y val="0.88793980297917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Eigenwert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36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'Faktorenanalyse (24.11.17)'!$C$149</c:f>
              <c:strCache>
                <c:ptCount val="1"/>
                <c:pt idx="0">
                  <c:v>Eigenwert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'Faktorenanalyse (24.11.17)'!$B$150:$B$159</c:f>
              <c:strCache>
                <c:ptCount val="10"/>
                <c:pt idx="0">
                  <c:v>Faktor 1</c:v>
                </c:pt>
                <c:pt idx="1">
                  <c:v>Faktor 2</c:v>
                </c:pt>
                <c:pt idx="2">
                  <c:v>Faktor 3</c:v>
                </c:pt>
                <c:pt idx="3">
                  <c:v>Faktor 4</c:v>
                </c:pt>
                <c:pt idx="4">
                  <c:v>Faktor 5</c:v>
                </c:pt>
                <c:pt idx="5">
                  <c:v>Faktor 6</c:v>
                </c:pt>
                <c:pt idx="6">
                  <c:v>Faktor 7</c:v>
                </c:pt>
                <c:pt idx="7">
                  <c:v>Faktor 8</c:v>
                </c:pt>
                <c:pt idx="8">
                  <c:v>Faktor 9</c:v>
                </c:pt>
                <c:pt idx="9">
                  <c:v>Faktor 10</c:v>
                </c:pt>
              </c:strCache>
            </c:strRef>
          </c:cat>
          <c:val>
            <c:numRef>
              <c:f>'Faktorenanalyse (24.11.17)'!$C$150:$C$159</c:f>
              <c:numCache>
                <c:formatCode>General</c:formatCode>
                <c:ptCount val="10"/>
                <c:pt idx="0">
                  <c:v>5.8183740581007832</c:v>
                </c:pt>
                <c:pt idx="1">
                  <c:v>1.8294182022636241</c:v>
                </c:pt>
                <c:pt idx="2">
                  <c:v>0.76150279479503291</c:v>
                </c:pt>
                <c:pt idx="3">
                  <c:v>0.51007174241929387</c:v>
                </c:pt>
                <c:pt idx="4">
                  <c:v>0.33864537099949099</c:v>
                </c:pt>
                <c:pt idx="5">
                  <c:v>0.25433693369243393</c:v>
                </c:pt>
                <c:pt idx="6">
                  <c:v>0.20697642718233025</c:v>
                </c:pt>
                <c:pt idx="7">
                  <c:v>0.12743422400871551</c:v>
                </c:pt>
                <c:pt idx="8">
                  <c:v>8.8816921350392444E-2</c:v>
                </c:pt>
                <c:pt idx="9">
                  <c:v>6.4423325187906111E-2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A-4D66-8A40-8980A526657E}"/>
            </c:ext>
          </c:extLst>
        </c:ser>
        <c:ser>
          <c:idx val="1"/>
          <c:order val="1"/>
          <c:tx>
            <c:v>Eigenwert Zufallszahlen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'Faktorenanalyse (24.11.17)'!$C$319:$C$328</c:f>
              <c:numCache>
                <c:formatCode>General</c:formatCode>
                <c:ptCount val="10"/>
                <c:pt idx="0">
                  <c:v>1.9471493159522049</c:v>
                </c:pt>
                <c:pt idx="1">
                  <c:v>1.6471850219887614</c:v>
                </c:pt>
                <c:pt idx="2">
                  <c:v>1.5570678694080218</c:v>
                </c:pt>
                <c:pt idx="3">
                  <c:v>1.3559085348441144</c:v>
                </c:pt>
                <c:pt idx="4">
                  <c:v>0.88492959029094564</c:v>
                </c:pt>
                <c:pt idx="5">
                  <c:v>0.75429700380768927</c:v>
                </c:pt>
                <c:pt idx="6">
                  <c:v>0.58388648543486787</c:v>
                </c:pt>
                <c:pt idx="7">
                  <c:v>0.5230599617954409</c:v>
                </c:pt>
                <c:pt idx="8">
                  <c:v>0.46678463786873187</c:v>
                </c:pt>
                <c:pt idx="9">
                  <c:v>0.27973157860922143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A-4D66-8A40-8980A526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370224"/>
        <c:axId val="1"/>
      </c:lineChart>
      <c:catAx>
        <c:axId val="64237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Faktoren</a:t>
                </a:r>
              </a:p>
            </c:rich>
          </c:tx>
          <c:layout>
            <c:manualLayout>
              <c:xMode val="edge"/>
              <c:yMode val="edge"/>
              <c:x val="0.51366541025781087"/>
              <c:y val="0.88793956852954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Eigenwert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37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'Faktorenanalyse (24.11.17)'!$C$559:$C$568</c:f>
              <c:numCache>
                <c:formatCode>General</c:formatCode>
                <c:ptCount val="10"/>
                <c:pt idx="0">
                  <c:v>0.5751385263881954</c:v>
                </c:pt>
                <c:pt idx="1">
                  <c:v>0.81749021630583096</c:v>
                </c:pt>
                <c:pt idx="2">
                  <c:v>0.79456953708096612</c:v>
                </c:pt>
                <c:pt idx="3">
                  <c:v>0.93720697562946531</c:v>
                </c:pt>
                <c:pt idx="4">
                  <c:v>0.87422271778993021</c:v>
                </c:pt>
                <c:pt idx="5">
                  <c:v>0.67927491984372446</c:v>
                </c:pt>
                <c:pt idx="6">
                  <c:v>0.50182397392337819</c:v>
                </c:pt>
                <c:pt idx="7">
                  <c:v>0.33536706771436575</c:v>
                </c:pt>
                <c:pt idx="8">
                  <c:v>0.93243474060215281</c:v>
                </c:pt>
                <c:pt idx="9">
                  <c:v>0.86443053456205765</c:v>
                </c:pt>
              </c:numCache>
            </c:numRef>
          </c:xVal>
          <c:yVal>
            <c:numRef>
              <c:f>'Faktorenanalyse (24.11.17)'!$D$559:$D$568</c:f>
              <c:numCache>
                <c:formatCode>General</c:formatCode>
                <c:ptCount val="10"/>
                <c:pt idx="0">
                  <c:v>-0.5855509656970328</c:v>
                </c:pt>
                <c:pt idx="1">
                  <c:v>-0.26014732283901693</c:v>
                </c:pt>
                <c:pt idx="2">
                  <c:v>-0.25416993440493735</c:v>
                </c:pt>
                <c:pt idx="3">
                  <c:v>0.21023298742217617</c:v>
                </c:pt>
                <c:pt idx="4">
                  <c:v>0.12163473568037431</c:v>
                </c:pt>
                <c:pt idx="5">
                  <c:v>0.36793656286972753</c:v>
                </c:pt>
                <c:pt idx="6">
                  <c:v>0.74386835170637622</c:v>
                </c:pt>
                <c:pt idx="7">
                  <c:v>0.8279804530102014</c:v>
                </c:pt>
                <c:pt idx="8">
                  <c:v>0.14658555600992162</c:v>
                </c:pt>
                <c:pt idx="9">
                  <c:v>4.9688464866333992E-2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C-4537-AE53-7C1F6AF4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366944"/>
        <c:axId val="1"/>
      </c:scatterChart>
      <c:valAx>
        <c:axId val="64236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3669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QQ-Plot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'Univariate NV Prüf. (08.12.17)'!$C$184:$C$213</c:f>
              <c:numCache>
                <c:formatCode>General</c:formatCode>
                <c:ptCount val="30"/>
                <c:pt idx="0">
                  <c:v>-2.128045234184984</c:v>
                </c:pt>
                <c:pt idx="1">
                  <c:v>-1.6448536269514726</c:v>
                </c:pt>
                <c:pt idx="2">
                  <c:v>-1.3829941271006392</c:v>
                </c:pt>
                <c:pt idx="3">
                  <c:v>-1.1918161716813944</c:v>
                </c:pt>
                <c:pt idx="4">
                  <c:v>-1.0364333894937898</c:v>
                </c:pt>
                <c:pt idx="5">
                  <c:v>-0.90273479164386372</c:v>
                </c:pt>
                <c:pt idx="6">
                  <c:v>-0.78350037538977446</c:v>
                </c:pt>
                <c:pt idx="7">
                  <c:v>-0.67448975019608193</c:v>
                </c:pt>
                <c:pt idx="8">
                  <c:v>-0.57296754849546372</c:v>
                </c:pt>
                <c:pt idx="9">
                  <c:v>-0.47704042848944361</c:v>
                </c:pt>
                <c:pt idx="10">
                  <c:v>-0.38532046640756784</c:v>
                </c:pt>
                <c:pt idx="11">
                  <c:v>-0.29673783825989802</c:v>
                </c:pt>
                <c:pt idx="12">
                  <c:v>-0.21042839424792467</c:v>
                </c:pt>
                <c:pt idx="13">
                  <c:v>-0.12566134685507402</c:v>
                </c:pt>
                <c:pt idx="14">
                  <c:v>-4.178929781645381E-2</c:v>
                </c:pt>
                <c:pt idx="15">
                  <c:v>4.1789297816453949E-2</c:v>
                </c:pt>
                <c:pt idx="16">
                  <c:v>0.12566134685507416</c:v>
                </c:pt>
                <c:pt idx="17">
                  <c:v>0.21042839424792484</c:v>
                </c:pt>
                <c:pt idx="18">
                  <c:v>0.29673783825989819</c:v>
                </c:pt>
                <c:pt idx="19">
                  <c:v>0.38532046640756784</c:v>
                </c:pt>
                <c:pt idx="20">
                  <c:v>0.47704042848944361</c:v>
                </c:pt>
                <c:pt idx="21">
                  <c:v>0.57296754849546372</c:v>
                </c:pt>
                <c:pt idx="22">
                  <c:v>0.67448975019608193</c:v>
                </c:pt>
                <c:pt idx="23">
                  <c:v>0.78350037538977446</c:v>
                </c:pt>
                <c:pt idx="24">
                  <c:v>0.90273479164386372</c:v>
                </c:pt>
                <c:pt idx="25">
                  <c:v>1.0364333894937898</c:v>
                </c:pt>
                <c:pt idx="26">
                  <c:v>1.1918161716813944</c:v>
                </c:pt>
                <c:pt idx="27">
                  <c:v>1.3829941271006372</c:v>
                </c:pt>
                <c:pt idx="28">
                  <c:v>1.6448536269514715</c:v>
                </c:pt>
                <c:pt idx="29">
                  <c:v>2.128045234184984</c:v>
                </c:pt>
              </c:numCache>
            </c:numRef>
          </c:xVal>
          <c:yVal>
            <c:numRef>
              <c:f>'Univariate NV Prüf. (08.12.17)'!$C$98:$C$127</c:f>
              <c:numCache>
                <c:formatCode>General</c:formatCode>
                <c:ptCount val="30"/>
                <c:pt idx="0">
                  <c:v>-1.818641216140124</c:v>
                </c:pt>
                <c:pt idx="1">
                  <c:v>-1.5244538571362147</c:v>
                </c:pt>
                <c:pt idx="2">
                  <c:v>-1.3022485115056024</c:v>
                </c:pt>
                <c:pt idx="3">
                  <c:v>-0.8547081674890169</c:v>
                </c:pt>
                <c:pt idx="4">
                  <c:v>-0.81715233442468815</c:v>
                </c:pt>
                <c:pt idx="5">
                  <c:v>-0.7858558068710807</c:v>
                </c:pt>
                <c:pt idx="6">
                  <c:v>-0.61372490532624024</c:v>
                </c:pt>
                <c:pt idx="7">
                  <c:v>-0.60746559981551873</c:v>
                </c:pt>
                <c:pt idx="8">
                  <c:v>-0.56678011399582917</c:v>
                </c:pt>
                <c:pt idx="9">
                  <c:v>-0.56052080848510766</c:v>
                </c:pt>
                <c:pt idx="10">
                  <c:v>-0.50418705888861437</c:v>
                </c:pt>
                <c:pt idx="11">
                  <c:v>-0.24442588019367326</c:v>
                </c:pt>
                <c:pt idx="12">
                  <c:v>-0.20687004712934443</c:v>
                </c:pt>
                <c:pt idx="13">
                  <c:v>-0.15679560304357262</c:v>
                </c:pt>
                <c:pt idx="14">
                  <c:v>-0.14740664477749041</c:v>
                </c:pt>
                <c:pt idx="15">
                  <c:v>-0.12236942273460452</c:v>
                </c:pt>
                <c:pt idx="16">
                  <c:v>-5.3517062116668318E-2</c:v>
                </c:pt>
                <c:pt idx="17">
                  <c:v>-2.2220534563060945E-2</c:v>
                </c:pt>
                <c:pt idx="18">
                  <c:v>0.11548418667281148</c:v>
                </c:pt>
                <c:pt idx="19">
                  <c:v>0.14991036698177959</c:v>
                </c:pt>
                <c:pt idx="20">
                  <c:v>0.21876272759971579</c:v>
                </c:pt>
                <c:pt idx="21">
                  <c:v>0.43783842047496735</c:v>
                </c:pt>
                <c:pt idx="22">
                  <c:v>0.48478321180537842</c:v>
                </c:pt>
                <c:pt idx="23">
                  <c:v>0.61935828028589013</c:v>
                </c:pt>
                <c:pt idx="24">
                  <c:v>0.6663030716163012</c:v>
                </c:pt>
                <c:pt idx="25">
                  <c:v>0.81965605662897723</c:v>
                </c:pt>
                <c:pt idx="26">
                  <c:v>1.1576585542079367</c:v>
                </c:pt>
                <c:pt idx="27">
                  <c:v>1.3141411919759738</c:v>
                </c:pt>
                <c:pt idx="28">
                  <c:v>1.5551244541387503</c:v>
                </c:pt>
                <c:pt idx="29">
                  <c:v>3.3703230522479779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4-4941-BA2B-ACF3CE4BCB85}"/>
            </c:ext>
          </c:extLst>
        </c:ser>
        <c:ser>
          <c:idx val="1"/>
          <c:order val="1"/>
          <c:tx>
            <c:v>Ideal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'Univariate NV Prüf. (08.12.17)'!$C$184:$C$213</c:f>
              <c:numCache>
                <c:formatCode>General</c:formatCode>
                <c:ptCount val="30"/>
                <c:pt idx="0">
                  <c:v>-2.128045234184984</c:v>
                </c:pt>
                <c:pt idx="1">
                  <c:v>-1.6448536269514726</c:v>
                </c:pt>
                <c:pt idx="2">
                  <c:v>-1.3829941271006392</c:v>
                </c:pt>
                <c:pt idx="3">
                  <c:v>-1.1918161716813944</c:v>
                </c:pt>
                <c:pt idx="4">
                  <c:v>-1.0364333894937898</c:v>
                </c:pt>
                <c:pt idx="5">
                  <c:v>-0.90273479164386372</c:v>
                </c:pt>
                <c:pt idx="6">
                  <c:v>-0.78350037538977446</c:v>
                </c:pt>
                <c:pt idx="7">
                  <c:v>-0.67448975019608193</c:v>
                </c:pt>
                <c:pt idx="8">
                  <c:v>-0.57296754849546372</c:v>
                </c:pt>
                <c:pt idx="9">
                  <c:v>-0.47704042848944361</c:v>
                </c:pt>
                <c:pt idx="10">
                  <c:v>-0.38532046640756784</c:v>
                </c:pt>
                <c:pt idx="11">
                  <c:v>-0.29673783825989802</c:v>
                </c:pt>
                <c:pt idx="12">
                  <c:v>-0.21042839424792467</c:v>
                </c:pt>
                <c:pt idx="13">
                  <c:v>-0.12566134685507402</c:v>
                </c:pt>
                <c:pt idx="14">
                  <c:v>-4.178929781645381E-2</c:v>
                </c:pt>
                <c:pt idx="15">
                  <c:v>4.1789297816453949E-2</c:v>
                </c:pt>
                <c:pt idx="16">
                  <c:v>0.12566134685507416</c:v>
                </c:pt>
                <c:pt idx="17">
                  <c:v>0.21042839424792484</c:v>
                </c:pt>
                <c:pt idx="18">
                  <c:v>0.29673783825989819</c:v>
                </c:pt>
                <c:pt idx="19">
                  <c:v>0.38532046640756784</c:v>
                </c:pt>
                <c:pt idx="20">
                  <c:v>0.47704042848944361</c:v>
                </c:pt>
                <c:pt idx="21">
                  <c:v>0.57296754849546372</c:v>
                </c:pt>
                <c:pt idx="22">
                  <c:v>0.67448975019608193</c:v>
                </c:pt>
                <c:pt idx="23">
                  <c:v>0.78350037538977446</c:v>
                </c:pt>
                <c:pt idx="24">
                  <c:v>0.90273479164386372</c:v>
                </c:pt>
                <c:pt idx="25">
                  <c:v>1.0364333894937898</c:v>
                </c:pt>
                <c:pt idx="26">
                  <c:v>1.1918161716813944</c:v>
                </c:pt>
                <c:pt idx="27">
                  <c:v>1.3829941271006372</c:v>
                </c:pt>
                <c:pt idx="28">
                  <c:v>1.6448536269514715</c:v>
                </c:pt>
                <c:pt idx="29">
                  <c:v>2.128045234184984</c:v>
                </c:pt>
              </c:numCache>
            </c:numRef>
          </c:xVal>
          <c:yVal>
            <c:numRef>
              <c:f>'Univariate NV Prüf. (08.12.17)'!$C$184:$C$213</c:f>
              <c:numCache>
                <c:formatCode>General</c:formatCode>
                <c:ptCount val="30"/>
                <c:pt idx="0">
                  <c:v>-2.128045234184984</c:v>
                </c:pt>
                <c:pt idx="1">
                  <c:v>-1.6448536269514726</c:v>
                </c:pt>
                <c:pt idx="2">
                  <c:v>-1.3829941271006392</c:v>
                </c:pt>
                <c:pt idx="3">
                  <c:v>-1.1918161716813944</c:v>
                </c:pt>
                <c:pt idx="4">
                  <c:v>-1.0364333894937898</c:v>
                </c:pt>
                <c:pt idx="5">
                  <c:v>-0.90273479164386372</c:v>
                </c:pt>
                <c:pt idx="6">
                  <c:v>-0.78350037538977446</c:v>
                </c:pt>
                <c:pt idx="7">
                  <c:v>-0.67448975019608193</c:v>
                </c:pt>
                <c:pt idx="8">
                  <c:v>-0.57296754849546372</c:v>
                </c:pt>
                <c:pt idx="9">
                  <c:v>-0.47704042848944361</c:v>
                </c:pt>
                <c:pt idx="10">
                  <c:v>-0.38532046640756784</c:v>
                </c:pt>
                <c:pt idx="11">
                  <c:v>-0.29673783825989802</c:v>
                </c:pt>
                <c:pt idx="12">
                  <c:v>-0.21042839424792467</c:v>
                </c:pt>
                <c:pt idx="13">
                  <c:v>-0.12566134685507402</c:v>
                </c:pt>
                <c:pt idx="14">
                  <c:v>-4.178929781645381E-2</c:v>
                </c:pt>
                <c:pt idx="15">
                  <c:v>4.1789297816453949E-2</c:v>
                </c:pt>
                <c:pt idx="16">
                  <c:v>0.12566134685507416</c:v>
                </c:pt>
                <c:pt idx="17">
                  <c:v>0.21042839424792484</c:v>
                </c:pt>
                <c:pt idx="18">
                  <c:v>0.29673783825989819</c:v>
                </c:pt>
                <c:pt idx="19">
                  <c:v>0.38532046640756784</c:v>
                </c:pt>
                <c:pt idx="20">
                  <c:v>0.47704042848944361</c:v>
                </c:pt>
                <c:pt idx="21">
                  <c:v>0.57296754849546372</c:v>
                </c:pt>
                <c:pt idx="22">
                  <c:v>0.67448975019608193</c:v>
                </c:pt>
                <c:pt idx="23">
                  <c:v>0.78350037538977446</c:v>
                </c:pt>
                <c:pt idx="24">
                  <c:v>0.90273479164386372</c:v>
                </c:pt>
                <c:pt idx="25">
                  <c:v>1.0364333894937898</c:v>
                </c:pt>
                <c:pt idx="26">
                  <c:v>1.1918161716813944</c:v>
                </c:pt>
                <c:pt idx="27">
                  <c:v>1.3829941271006372</c:v>
                </c:pt>
                <c:pt idx="28">
                  <c:v>1.6448536269514715</c:v>
                </c:pt>
                <c:pt idx="29">
                  <c:v>2.128045234184984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4-4941-BA2B-ACF3CE4B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84472"/>
        <c:axId val="1"/>
      </c:scatterChart>
      <c:valAx>
        <c:axId val="63918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1844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'Univariate NV Prüf. (08.12.17)'!$C$98:$C$127</c:f>
              <c:numCache>
                <c:formatCode>General</c:formatCode>
                <c:ptCount val="30"/>
                <c:pt idx="0">
                  <c:v>-1.818641216140124</c:v>
                </c:pt>
                <c:pt idx="1">
                  <c:v>-1.5244538571362147</c:v>
                </c:pt>
                <c:pt idx="2">
                  <c:v>-1.3022485115056024</c:v>
                </c:pt>
                <c:pt idx="3">
                  <c:v>-0.8547081674890169</c:v>
                </c:pt>
                <c:pt idx="4">
                  <c:v>-0.81715233442468815</c:v>
                </c:pt>
                <c:pt idx="5">
                  <c:v>-0.7858558068710807</c:v>
                </c:pt>
                <c:pt idx="6">
                  <c:v>-0.61372490532624024</c:v>
                </c:pt>
                <c:pt idx="7">
                  <c:v>-0.60746559981551873</c:v>
                </c:pt>
                <c:pt idx="8">
                  <c:v>-0.56678011399582917</c:v>
                </c:pt>
                <c:pt idx="9">
                  <c:v>-0.56052080848510766</c:v>
                </c:pt>
                <c:pt idx="10">
                  <c:v>-0.50418705888861437</c:v>
                </c:pt>
                <c:pt idx="11">
                  <c:v>-0.24442588019367326</c:v>
                </c:pt>
                <c:pt idx="12">
                  <c:v>-0.20687004712934443</c:v>
                </c:pt>
                <c:pt idx="13">
                  <c:v>-0.15679560304357262</c:v>
                </c:pt>
                <c:pt idx="14">
                  <c:v>-0.14740664477749041</c:v>
                </c:pt>
                <c:pt idx="15">
                  <c:v>-0.12236942273460452</c:v>
                </c:pt>
                <c:pt idx="16">
                  <c:v>-5.3517062116668318E-2</c:v>
                </c:pt>
                <c:pt idx="17">
                  <c:v>-2.2220534563060945E-2</c:v>
                </c:pt>
                <c:pt idx="18">
                  <c:v>0.11548418667281148</c:v>
                </c:pt>
                <c:pt idx="19">
                  <c:v>0.14991036698177959</c:v>
                </c:pt>
                <c:pt idx="20">
                  <c:v>0.21876272759971579</c:v>
                </c:pt>
                <c:pt idx="21">
                  <c:v>0.43783842047496735</c:v>
                </c:pt>
                <c:pt idx="22">
                  <c:v>0.48478321180537842</c:v>
                </c:pt>
                <c:pt idx="23">
                  <c:v>0.61935828028589013</c:v>
                </c:pt>
                <c:pt idx="24">
                  <c:v>0.6663030716163012</c:v>
                </c:pt>
                <c:pt idx="25">
                  <c:v>0.81965605662897723</c:v>
                </c:pt>
                <c:pt idx="26">
                  <c:v>1.1576585542079367</c:v>
                </c:pt>
                <c:pt idx="27">
                  <c:v>1.3141411919759738</c:v>
                </c:pt>
                <c:pt idx="28">
                  <c:v>1.5551244541387503</c:v>
                </c:pt>
                <c:pt idx="29">
                  <c:v>3.3703230522479779</c:v>
                </c:pt>
              </c:numCache>
            </c:numRef>
          </c:xVal>
          <c:yVal>
            <c:numRef>
              <c:f>'Univariate NV Prüf. (08.12.17)'!$C$142:$C$171</c:f>
              <c:numCache>
                <c:formatCode>General</c:formatCode>
                <c:ptCount val="30"/>
                <c:pt idx="0">
                  <c:v>1.6666666666666666E-2</c:v>
                </c:pt>
                <c:pt idx="1">
                  <c:v>0.05</c:v>
                </c:pt>
                <c:pt idx="2">
                  <c:v>8.3333333333333329E-2</c:v>
                </c:pt>
                <c:pt idx="3">
                  <c:v>0.11666666666666667</c:v>
                </c:pt>
                <c:pt idx="4">
                  <c:v>0.15</c:v>
                </c:pt>
                <c:pt idx="5">
                  <c:v>0.18333333333333332</c:v>
                </c:pt>
                <c:pt idx="6">
                  <c:v>0.21666666666666667</c:v>
                </c:pt>
                <c:pt idx="7">
                  <c:v>0.25</c:v>
                </c:pt>
                <c:pt idx="8">
                  <c:v>0.28333333333333333</c:v>
                </c:pt>
                <c:pt idx="9">
                  <c:v>0.31666666666666665</c:v>
                </c:pt>
                <c:pt idx="10">
                  <c:v>0.35</c:v>
                </c:pt>
                <c:pt idx="11">
                  <c:v>0.38333333333333336</c:v>
                </c:pt>
                <c:pt idx="12">
                  <c:v>0.41666666666666669</c:v>
                </c:pt>
                <c:pt idx="13">
                  <c:v>0.45</c:v>
                </c:pt>
                <c:pt idx="14">
                  <c:v>0.48333333333333334</c:v>
                </c:pt>
                <c:pt idx="15">
                  <c:v>0.51666666666666672</c:v>
                </c:pt>
                <c:pt idx="16">
                  <c:v>0.55000000000000004</c:v>
                </c:pt>
                <c:pt idx="17">
                  <c:v>0.58333333333333337</c:v>
                </c:pt>
                <c:pt idx="18">
                  <c:v>0.6166666666666667</c:v>
                </c:pt>
                <c:pt idx="19">
                  <c:v>0.65</c:v>
                </c:pt>
                <c:pt idx="20">
                  <c:v>0.68333333333333335</c:v>
                </c:pt>
                <c:pt idx="21">
                  <c:v>0.71666666666666667</c:v>
                </c:pt>
                <c:pt idx="22">
                  <c:v>0.75</c:v>
                </c:pt>
                <c:pt idx="23">
                  <c:v>0.78333333333333333</c:v>
                </c:pt>
                <c:pt idx="24">
                  <c:v>0.81666666666666665</c:v>
                </c:pt>
                <c:pt idx="25">
                  <c:v>0.85</c:v>
                </c:pt>
                <c:pt idx="26">
                  <c:v>0.8833333333333333</c:v>
                </c:pt>
                <c:pt idx="27">
                  <c:v>0.91666666666666663</c:v>
                </c:pt>
                <c:pt idx="28">
                  <c:v>0.95</c:v>
                </c:pt>
                <c:pt idx="29">
                  <c:v>0.98333333333333328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89-43A4-B3DA-844CBCCD1270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'Univariate NV Prüf. (08.12.17)'!$C$184:$C$213</c:f>
              <c:numCache>
                <c:formatCode>General</c:formatCode>
                <c:ptCount val="30"/>
                <c:pt idx="0">
                  <c:v>-2.128045234184984</c:v>
                </c:pt>
                <c:pt idx="1">
                  <c:v>-1.6448536269514726</c:v>
                </c:pt>
                <c:pt idx="2">
                  <c:v>-1.3829941271006392</c:v>
                </c:pt>
                <c:pt idx="3">
                  <c:v>-1.1918161716813944</c:v>
                </c:pt>
                <c:pt idx="4">
                  <c:v>-1.0364333894937898</c:v>
                </c:pt>
                <c:pt idx="5">
                  <c:v>-0.90273479164386372</c:v>
                </c:pt>
                <c:pt idx="6">
                  <c:v>-0.78350037538977446</c:v>
                </c:pt>
                <c:pt idx="7">
                  <c:v>-0.67448975019608193</c:v>
                </c:pt>
                <c:pt idx="8">
                  <c:v>-0.57296754849546372</c:v>
                </c:pt>
                <c:pt idx="9">
                  <c:v>-0.47704042848944361</c:v>
                </c:pt>
                <c:pt idx="10">
                  <c:v>-0.38532046640756784</c:v>
                </c:pt>
                <c:pt idx="11">
                  <c:v>-0.29673783825989802</c:v>
                </c:pt>
                <c:pt idx="12">
                  <c:v>-0.21042839424792467</c:v>
                </c:pt>
                <c:pt idx="13">
                  <c:v>-0.12566134685507402</c:v>
                </c:pt>
                <c:pt idx="14">
                  <c:v>-4.178929781645381E-2</c:v>
                </c:pt>
                <c:pt idx="15">
                  <c:v>4.1789297816453949E-2</c:v>
                </c:pt>
                <c:pt idx="16">
                  <c:v>0.12566134685507416</c:v>
                </c:pt>
                <c:pt idx="17">
                  <c:v>0.21042839424792484</c:v>
                </c:pt>
                <c:pt idx="18">
                  <c:v>0.29673783825989819</c:v>
                </c:pt>
                <c:pt idx="19">
                  <c:v>0.38532046640756784</c:v>
                </c:pt>
                <c:pt idx="20">
                  <c:v>0.47704042848944361</c:v>
                </c:pt>
                <c:pt idx="21">
                  <c:v>0.57296754849546372</c:v>
                </c:pt>
                <c:pt idx="22">
                  <c:v>0.67448975019608193</c:v>
                </c:pt>
                <c:pt idx="23">
                  <c:v>0.78350037538977446</c:v>
                </c:pt>
                <c:pt idx="24">
                  <c:v>0.90273479164386372</c:v>
                </c:pt>
                <c:pt idx="25">
                  <c:v>1.0364333894937898</c:v>
                </c:pt>
                <c:pt idx="26">
                  <c:v>1.1918161716813944</c:v>
                </c:pt>
                <c:pt idx="27">
                  <c:v>1.3829941271006372</c:v>
                </c:pt>
                <c:pt idx="28">
                  <c:v>1.6448536269514715</c:v>
                </c:pt>
                <c:pt idx="29">
                  <c:v>2.128045234184984</c:v>
                </c:pt>
              </c:numCache>
            </c:numRef>
          </c:xVal>
          <c:yVal>
            <c:numRef>
              <c:f>'Univariate NV Prüf. (08.12.17)'!$C$142:$C$171</c:f>
              <c:numCache>
                <c:formatCode>General</c:formatCode>
                <c:ptCount val="30"/>
                <c:pt idx="0">
                  <c:v>1.6666666666666666E-2</c:v>
                </c:pt>
                <c:pt idx="1">
                  <c:v>0.05</c:v>
                </c:pt>
                <c:pt idx="2">
                  <c:v>8.3333333333333329E-2</c:v>
                </c:pt>
                <c:pt idx="3">
                  <c:v>0.11666666666666667</c:v>
                </c:pt>
                <c:pt idx="4">
                  <c:v>0.15</c:v>
                </c:pt>
                <c:pt idx="5">
                  <c:v>0.18333333333333332</c:v>
                </c:pt>
                <c:pt idx="6">
                  <c:v>0.21666666666666667</c:v>
                </c:pt>
                <c:pt idx="7">
                  <c:v>0.25</c:v>
                </c:pt>
                <c:pt idx="8">
                  <c:v>0.28333333333333333</c:v>
                </c:pt>
                <c:pt idx="9">
                  <c:v>0.31666666666666665</c:v>
                </c:pt>
                <c:pt idx="10">
                  <c:v>0.35</c:v>
                </c:pt>
                <c:pt idx="11">
                  <c:v>0.38333333333333336</c:v>
                </c:pt>
                <c:pt idx="12">
                  <c:v>0.41666666666666669</c:v>
                </c:pt>
                <c:pt idx="13">
                  <c:v>0.45</c:v>
                </c:pt>
                <c:pt idx="14">
                  <c:v>0.48333333333333334</c:v>
                </c:pt>
                <c:pt idx="15">
                  <c:v>0.51666666666666672</c:v>
                </c:pt>
                <c:pt idx="16">
                  <c:v>0.55000000000000004</c:v>
                </c:pt>
                <c:pt idx="17">
                  <c:v>0.58333333333333337</c:v>
                </c:pt>
                <c:pt idx="18">
                  <c:v>0.6166666666666667</c:v>
                </c:pt>
                <c:pt idx="19">
                  <c:v>0.65</c:v>
                </c:pt>
                <c:pt idx="20">
                  <c:v>0.68333333333333335</c:v>
                </c:pt>
                <c:pt idx="21">
                  <c:v>0.71666666666666667</c:v>
                </c:pt>
                <c:pt idx="22">
                  <c:v>0.75</c:v>
                </c:pt>
                <c:pt idx="23">
                  <c:v>0.78333333333333333</c:v>
                </c:pt>
                <c:pt idx="24">
                  <c:v>0.81666666666666665</c:v>
                </c:pt>
                <c:pt idx="25">
                  <c:v>0.85</c:v>
                </c:pt>
                <c:pt idx="26">
                  <c:v>0.8833333333333333</c:v>
                </c:pt>
                <c:pt idx="27">
                  <c:v>0.91666666666666663</c:v>
                </c:pt>
                <c:pt idx="28">
                  <c:v>0.95</c:v>
                </c:pt>
                <c:pt idx="29">
                  <c:v>0.98333333333333328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89-43A4-B3DA-844CBCCD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86112"/>
        <c:axId val="1"/>
      </c:scatterChart>
      <c:valAx>
        <c:axId val="63918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186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Multivariater QQ-Plot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'Multivariat NV Prüf. (08.12.17)'!$C$274:$C$303</c:f>
              <c:numCache>
                <c:formatCode>General</c:formatCode>
                <c:ptCount val="30"/>
                <c:pt idx="0">
                  <c:v>0.38942731907740313</c:v>
                </c:pt>
                <c:pt idx="1">
                  <c:v>0.71072302139732424</c:v>
                </c:pt>
                <c:pt idx="2">
                  <c:v>0.95415097747121425</c:v>
                </c:pt>
                <c:pt idx="3">
                  <c:v>1.1680322333717634</c:v>
                </c:pt>
                <c:pt idx="4">
                  <c:v>1.3664772261418807</c:v>
                </c:pt>
                <c:pt idx="5">
                  <c:v>1.5560612521221138</c:v>
                </c:pt>
                <c:pt idx="6">
                  <c:v>1.7405819752647345</c:v>
                </c:pt>
                <c:pt idx="7">
                  <c:v>1.9225575262295547</c:v>
                </c:pt>
                <c:pt idx="8">
                  <c:v>2.1038415087137405</c:v>
                </c:pt>
                <c:pt idx="9">
                  <c:v>2.2859220489612433</c:v>
                </c:pt>
                <c:pt idx="10">
                  <c:v>2.4700873874753086</c:v>
                </c:pt>
                <c:pt idx="11">
                  <c:v>2.6575290666278732</c:v>
                </c:pt>
                <c:pt idx="12">
                  <c:v>2.8494146572050654</c:v>
                </c:pt>
                <c:pt idx="13">
                  <c:v>3.0469464242728361</c:v>
                </c:pt>
                <c:pt idx="14">
                  <c:v>3.2514157793747342</c:v>
                </c:pt>
                <c:pt idx="15">
                  <c:v>3.4642608107428186</c:v>
                </c:pt>
                <c:pt idx="16">
                  <c:v>3.6871338340838928</c:v>
                </c:pt>
                <c:pt idx="17">
                  <c:v>3.9219872756152636</c:v>
                </c:pt>
                <c:pt idx="18">
                  <c:v>4.1711895673206945</c:v>
                </c:pt>
                <c:pt idx="19">
                  <c:v>4.4376891993848027</c:v>
                </c:pt>
                <c:pt idx="20">
                  <c:v>4.725257122020988</c:v>
                </c:pt>
                <c:pt idx="21">
                  <c:v>5.0388607343452625</c:v>
                </c:pt>
                <c:pt idx="22">
                  <c:v>5.3852690577793911</c:v>
                </c:pt>
                <c:pt idx="23">
                  <c:v>5.7740884748677574</c:v>
                </c:pt>
                <c:pt idx="24">
                  <c:v>6.2196625229813991</c:v>
                </c:pt>
                <c:pt idx="25">
                  <c:v>6.7448830872124201</c:v>
                </c:pt>
                <c:pt idx="26">
                  <c:v>7.3898285293504804</c:v>
                </c:pt>
                <c:pt idx="27">
                  <c:v>8.2351806833220298</c:v>
                </c:pt>
                <c:pt idx="28">
                  <c:v>9.4877290367811575</c:v>
                </c:pt>
                <c:pt idx="29">
                  <c:v>12.093875437027382</c:v>
                </c:pt>
              </c:numCache>
            </c:numRef>
          </c:xVal>
          <c:yVal>
            <c:numRef>
              <c:f>'Multivariat NV Prüf. (08.12.17)'!$C$200:$C$229</c:f>
              <c:numCache>
                <c:formatCode>General</c:formatCode>
                <c:ptCount val="30"/>
                <c:pt idx="0">
                  <c:v>0.13403933601389736</c:v>
                </c:pt>
                <c:pt idx="1">
                  <c:v>0.47949916525418501</c:v>
                </c:pt>
                <c:pt idx="2">
                  <c:v>0.62070295811858922</c:v>
                </c:pt>
                <c:pt idx="3">
                  <c:v>0.79297238320962837</c:v>
                </c:pt>
                <c:pt idx="4">
                  <c:v>0.82366509996993076</c:v>
                </c:pt>
                <c:pt idx="5">
                  <c:v>1.1164638842753869</c:v>
                </c:pt>
                <c:pt idx="6">
                  <c:v>1.4102196779362437</c:v>
                </c:pt>
                <c:pt idx="7">
                  <c:v>1.4462871984432488</c:v>
                </c:pt>
                <c:pt idx="8">
                  <c:v>1.515507752398308</c:v>
                </c:pt>
                <c:pt idx="9">
                  <c:v>1.5389554850713316</c:v>
                </c:pt>
                <c:pt idx="10">
                  <c:v>1.9973556638960888</c:v>
                </c:pt>
                <c:pt idx="11">
                  <c:v>2.2956629672094602</c:v>
                </c:pt>
                <c:pt idx="12">
                  <c:v>2.4637292937455149</c:v>
                </c:pt>
                <c:pt idx="13">
                  <c:v>2.6260940033200795</c:v>
                </c:pt>
                <c:pt idx="14">
                  <c:v>2.6729158280296659</c:v>
                </c:pt>
                <c:pt idx="15">
                  <c:v>2.7888645323767003</c:v>
                </c:pt>
                <c:pt idx="16">
                  <c:v>3.0984571217413097</c:v>
                </c:pt>
                <c:pt idx="17">
                  <c:v>3.5151521812106319</c:v>
                </c:pt>
                <c:pt idx="18">
                  <c:v>3.6225817665990063</c:v>
                </c:pt>
                <c:pt idx="19">
                  <c:v>4.1276485357096604</c:v>
                </c:pt>
                <c:pt idx="20">
                  <c:v>4.7346069541801699</c:v>
                </c:pt>
                <c:pt idx="21">
                  <c:v>5.1603618546286096</c:v>
                </c:pt>
                <c:pt idx="22">
                  <c:v>5.2300806220805134</c:v>
                </c:pt>
                <c:pt idx="23">
                  <c:v>5.3871825556452508</c:v>
                </c:pt>
                <c:pt idx="24">
                  <c:v>5.6658823360800383</c:v>
                </c:pt>
                <c:pt idx="25">
                  <c:v>6.5004443001296854</c:v>
                </c:pt>
                <c:pt idx="26">
                  <c:v>7.879286798552732</c:v>
                </c:pt>
                <c:pt idx="27">
                  <c:v>10.239350077961529</c:v>
                </c:pt>
                <c:pt idx="28">
                  <c:v>12.687677579916334</c:v>
                </c:pt>
                <c:pt idx="29">
                  <c:v>17.428352086295206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4-4516-9DB8-3B8FF8B2831D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'Multivariat NV Prüf. (08.12.17)'!$C$317:$C$318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'Multivariat NV Prüf. (08.12.17)'!$C$317:$C$318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4-4516-9DB8-3B8FF8B2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28816"/>
        <c:axId val="1"/>
      </c:scatterChart>
      <c:valAx>
        <c:axId val="64372881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Erwartete Quantile (Chi²)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Beobachtete Quantile (M-Distanz)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3728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'Min. Dis. Classifier (15.12.17)'!$E$97</c:f>
              <c:strCache>
                <c:ptCount val="1"/>
                <c:pt idx="0">
                  <c:v>risk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'Min. Dis. Classifier (15.12.17)'!$C$97:$C$115</c:f>
              <c:numCache>
                <c:formatCode>General</c:formatCode>
                <c:ptCount val="19"/>
                <c:pt idx="0">
                  <c:v>-0.24155393643235079</c:v>
                </c:pt>
                <c:pt idx="1">
                  <c:v>0.3153075122670288</c:v>
                </c:pt>
                <c:pt idx="2">
                  <c:v>-0.27603304102310749</c:v>
                </c:pt>
                <c:pt idx="3">
                  <c:v>4.6324019577862578E-2</c:v>
                </c:pt>
                <c:pt idx="4">
                  <c:v>-0.63159363605109409</c:v>
                </c:pt>
                <c:pt idx="5">
                  <c:v>-0.21194303934855926</c:v>
                </c:pt>
                <c:pt idx="6">
                  <c:v>-0.91439923620457342</c:v>
                </c:pt>
                <c:pt idx="7">
                  <c:v>-0.90734432763535766</c:v>
                </c:pt>
                <c:pt idx="8">
                  <c:v>1.0140514738446511</c:v>
                </c:pt>
                <c:pt idx="9">
                  <c:v>0.40435073002007077</c:v>
                </c:pt>
                <c:pt idx="10">
                  <c:v>0.61636973718779409</c:v>
                </c:pt>
                <c:pt idx="11">
                  <c:v>0.35714718350920283</c:v>
                </c:pt>
                <c:pt idx="12">
                  <c:v>0.32815063578281106</c:v>
                </c:pt>
                <c:pt idx="13">
                  <c:v>0.44477923285352855</c:v>
                </c:pt>
                <c:pt idx="14">
                  <c:v>0.37764614402421509</c:v>
                </c:pt>
                <c:pt idx="15">
                  <c:v>0.42632552981068755</c:v>
                </c:pt>
                <c:pt idx="16">
                  <c:v>0.40813941253804958</c:v>
                </c:pt>
                <c:pt idx="17">
                  <c:v>0.60732947821750161</c:v>
                </c:pt>
                <c:pt idx="18">
                  <c:v>0.46878582298888483</c:v>
                </c:pt>
              </c:numCache>
            </c:numRef>
          </c:xVal>
          <c:yVal>
            <c:numRef>
              <c:f>'Min. Dis. Classifier (15.12.17)'!$D$97:$D$115</c:f>
              <c:numCache>
                <c:formatCode>General</c:formatCode>
                <c:ptCount val="19"/>
                <c:pt idx="0">
                  <c:v>0.57802319324453533</c:v>
                </c:pt>
                <c:pt idx="1">
                  <c:v>-0.28605050771036916</c:v>
                </c:pt>
                <c:pt idx="2">
                  <c:v>-0.99920637967340875</c:v>
                </c:pt>
                <c:pt idx="3">
                  <c:v>-1.2942180579330083</c:v>
                </c:pt>
                <c:pt idx="4">
                  <c:v>0.62012022560171776</c:v>
                </c:pt>
                <c:pt idx="5">
                  <c:v>7.9808842631682683E-2</c:v>
                </c:pt>
                <c:pt idx="6">
                  <c:v>0.30244501788394873</c:v>
                </c:pt>
                <c:pt idx="7">
                  <c:v>0.90529443810377241</c:v>
                </c:pt>
                <c:pt idx="8">
                  <c:v>-1.3603785864941356</c:v>
                </c:pt>
                <c:pt idx="9">
                  <c:v>-0.89577870406952387</c:v>
                </c:pt>
                <c:pt idx="10">
                  <c:v>-1.2190783140272792</c:v>
                </c:pt>
                <c:pt idx="11">
                  <c:v>-0.9317529874531254</c:v>
                </c:pt>
                <c:pt idx="12">
                  <c:v>-1.3512877176360876</c:v>
                </c:pt>
                <c:pt idx="13">
                  <c:v>-0.59593863309205464</c:v>
                </c:pt>
                <c:pt idx="14">
                  <c:v>-0.96332800382463968</c:v>
                </c:pt>
                <c:pt idx="15">
                  <c:v>-0.81599084820364842</c:v>
                </c:pt>
                <c:pt idx="16">
                  <c:v>-1.1486301621433548</c:v>
                </c:pt>
                <c:pt idx="17">
                  <c:v>-1.2251427962507946</c:v>
                </c:pt>
                <c:pt idx="18">
                  <c:v>-1.0805665480122584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6B-4420-A590-CC5615B6D395}"/>
            </c:ext>
          </c:extLst>
        </c:ser>
        <c:ser>
          <c:idx val="1"/>
          <c:order val="1"/>
          <c:tx>
            <c:strRef>
              <c:f>'Min. Dis. Classifier (15.12.17)'!$E$116</c:f>
              <c:strCache>
                <c:ptCount val="1"/>
                <c:pt idx="0">
                  <c:v>ill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'Min. Dis. Classifier (15.12.17)'!$C$116:$C$134</c:f>
              <c:numCache>
                <c:formatCode>General</c:formatCode>
                <c:ptCount val="19"/>
                <c:pt idx="0">
                  <c:v>0.72281909737066485</c:v>
                </c:pt>
                <c:pt idx="1">
                  <c:v>0.81974487749685632</c:v>
                </c:pt>
                <c:pt idx="2">
                  <c:v>1.2793151141721284</c:v>
                </c:pt>
                <c:pt idx="3">
                  <c:v>1.9950288339949405</c:v>
                </c:pt>
                <c:pt idx="4">
                  <c:v>-0.31649811236519682</c:v>
                </c:pt>
                <c:pt idx="5">
                  <c:v>-1.0951576224953685</c:v>
                </c:pt>
                <c:pt idx="6">
                  <c:v>-0.79632082202763121</c:v>
                </c:pt>
                <c:pt idx="7">
                  <c:v>0.32657131396819133</c:v>
                </c:pt>
                <c:pt idx="8">
                  <c:v>-0.82928595808315242</c:v>
                </c:pt>
                <c:pt idx="9">
                  <c:v>0.33442261201969165</c:v>
                </c:pt>
                <c:pt idx="10">
                  <c:v>0.7405934920529097</c:v>
                </c:pt>
                <c:pt idx="11">
                  <c:v>1.2608497570877817</c:v>
                </c:pt>
                <c:pt idx="12">
                  <c:v>1.4879258287381751</c:v>
                </c:pt>
                <c:pt idx="13">
                  <c:v>1.3748332568579478</c:v>
                </c:pt>
                <c:pt idx="14">
                  <c:v>1.5167648390660018</c:v>
                </c:pt>
                <c:pt idx="15">
                  <c:v>1.3884869682742502</c:v>
                </c:pt>
                <c:pt idx="16">
                  <c:v>1.1558738646414328</c:v>
                </c:pt>
                <c:pt idx="17">
                  <c:v>1.1982492576858779</c:v>
                </c:pt>
                <c:pt idx="18">
                  <c:v>1.5868375419639376</c:v>
                </c:pt>
              </c:numCache>
            </c:numRef>
          </c:xVal>
          <c:yVal>
            <c:numRef>
              <c:f>'Min. Dis. Classifier (15.12.17)'!$D$116:$D$134</c:f>
              <c:numCache>
                <c:formatCode>General</c:formatCode>
                <c:ptCount val="19"/>
                <c:pt idx="0">
                  <c:v>1.4632600364074799</c:v>
                </c:pt>
                <c:pt idx="1">
                  <c:v>0.70070050563428055</c:v>
                </c:pt>
                <c:pt idx="2">
                  <c:v>0.28917696948610522</c:v>
                </c:pt>
                <c:pt idx="3">
                  <c:v>7.9808842631682683E-2</c:v>
                </c:pt>
                <c:pt idx="4">
                  <c:v>2.0216962019402942</c:v>
                </c:pt>
                <c:pt idx="5">
                  <c:v>2.5533926942576741</c:v>
                </c:pt>
                <c:pt idx="6">
                  <c:v>2.9672842455709527</c:v>
                </c:pt>
                <c:pt idx="7">
                  <c:v>1.973314669899116</c:v>
                </c:pt>
                <c:pt idx="8">
                  <c:v>2.2451751048736845</c:v>
                </c:pt>
                <c:pt idx="9">
                  <c:v>0.49514740244093031</c:v>
                </c:pt>
                <c:pt idx="10">
                  <c:v>0.12592682390242932</c:v>
                </c:pt>
                <c:pt idx="11">
                  <c:v>-0.12883829980802888</c:v>
                </c:pt>
                <c:pt idx="12">
                  <c:v>0.11542268329878397</c:v>
                </c:pt>
                <c:pt idx="13">
                  <c:v>0.61809529982494227</c:v>
                </c:pt>
                <c:pt idx="14">
                  <c:v>0.30944880712945416</c:v>
                </c:pt>
                <c:pt idx="15">
                  <c:v>0.32350640944170317</c:v>
                </c:pt>
                <c:pt idx="16">
                  <c:v>0.50651019968372879</c:v>
                </c:pt>
                <c:pt idx="17">
                  <c:v>1.0436272057475449</c:v>
                </c:pt>
                <c:pt idx="18">
                  <c:v>0.41306789321700499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6B-4420-A590-CC5615B6D395}"/>
            </c:ext>
          </c:extLst>
        </c:ser>
        <c:ser>
          <c:idx val="2"/>
          <c:order val="2"/>
          <c:tx>
            <c:strRef>
              <c:f>'Min. Dis. Classifier (15.12.17)'!$E$135</c:f>
              <c:strCache>
                <c:ptCount val="1"/>
                <c:pt idx="0">
                  <c:v>normal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'Min. Dis. Classifier (15.12.17)'!$C$135:$C$153</c:f>
              <c:numCache>
                <c:formatCode>General</c:formatCode>
                <c:ptCount val="19"/>
                <c:pt idx="0">
                  <c:v>-1.2035810999089676</c:v>
                </c:pt>
                <c:pt idx="1">
                  <c:v>-0.89178278080383289</c:v>
                </c:pt>
                <c:pt idx="2">
                  <c:v>-0.26540424388171141</c:v>
                </c:pt>
                <c:pt idx="3">
                  <c:v>0.23207684122134703</c:v>
                </c:pt>
                <c:pt idx="4">
                  <c:v>-1.3887195627125</c:v>
                </c:pt>
                <c:pt idx="5">
                  <c:v>-2.1828236137887189</c:v>
                </c:pt>
                <c:pt idx="6">
                  <c:v>-2.5895687676100083</c:v>
                </c:pt>
                <c:pt idx="7">
                  <c:v>-1.919535722647693</c:v>
                </c:pt>
                <c:pt idx="8">
                  <c:v>-1.8058752682874046</c:v>
                </c:pt>
                <c:pt idx="9">
                  <c:v>-0.7179970355746027</c:v>
                </c:pt>
                <c:pt idx="10">
                  <c:v>-0.2477628988428705</c:v>
                </c:pt>
                <c:pt idx="11">
                  <c:v>-0.59833277235012861</c:v>
                </c:pt>
                <c:pt idx="12">
                  <c:v>-0.1466634948722603</c:v>
                </c:pt>
                <c:pt idx="13">
                  <c:v>-0.81345794053245057</c:v>
                </c:pt>
                <c:pt idx="14">
                  <c:v>-0.68039678946220605</c:v>
                </c:pt>
                <c:pt idx="15">
                  <c:v>-0.77591919728763703</c:v>
                </c:pt>
                <c:pt idx="16">
                  <c:v>-0.83880174576431288</c:v>
                </c:pt>
                <c:pt idx="17">
                  <c:v>-0.15219340556964991</c:v>
                </c:pt>
                <c:pt idx="18">
                  <c:v>0.20384566232894802</c:v>
                </c:pt>
              </c:numCache>
            </c:numRef>
          </c:xVal>
          <c:yVal>
            <c:numRef>
              <c:f>'Min. Dis. Classifier (15.12.17)'!$D$135:$D$153</c:f>
              <c:numCache>
                <c:formatCode>General</c:formatCode>
                <c:ptCount val="19"/>
                <c:pt idx="0">
                  <c:v>-0.36329341736720594</c:v>
                </c:pt>
                <c:pt idx="1">
                  <c:v>-0.46566324107790114</c:v>
                </c:pt>
                <c:pt idx="2">
                  <c:v>-0.41463900662576275</c:v>
                </c:pt>
                <c:pt idx="3">
                  <c:v>-0.3460249766009395</c:v>
                </c:pt>
                <c:pt idx="4">
                  <c:v>-0.73019775180373681</c:v>
                </c:pt>
                <c:pt idx="5">
                  <c:v>0.12924086324335493</c:v>
                </c:pt>
                <c:pt idx="6">
                  <c:v>0.21922665537197625</c:v>
                </c:pt>
                <c:pt idx="7">
                  <c:v>4.4848587377307901E-3</c:v>
                </c:pt>
                <c:pt idx="8">
                  <c:v>0.44397132417124635</c:v>
                </c:pt>
                <c:pt idx="9">
                  <c:v>4.4362183938506869E-2</c:v>
                </c:pt>
                <c:pt idx="10">
                  <c:v>-0.46844119064302958</c:v>
                </c:pt>
                <c:pt idx="11">
                  <c:v>6.0168381520767061E-2</c:v>
                </c:pt>
                <c:pt idx="12">
                  <c:v>-1.0136056523687589</c:v>
                </c:pt>
                <c:pt idx="13">
                  <c:v>-0.82009421507761504</c:v>
                </c:pt>
                <c:pt idx="14">
                  <c:v>-0.89859106033377723</c:v>
                </c:pt>
                <c:pt idx="15">
                  <c:v>0.24765937304321045</c:v>
                </c:pt>
                <c:pt idx="16">
                  <c:v>-0.48460289117574701</c:v>
                </c:pt>
                <c:pt idx="17">
                  <c:v>-0.20992822021262628</c:v>
                </c:pt>
                <c:pt idx="18">
                  <c:v>-1.368099183261426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6B-4420-A590-CC5615B6D395}"/>
            </c:ext>
          </c:extLst>
        </c:ser>
        <c:ser>
          <c:idx val="3"/>
          <c:order val="3"/>
          <c:tx>
            <c:v>Centroid Risk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(15.12.17)'!$C$166</c:f>
              <c:numCache>
                <c:formatCode>General</c:formatCode>
                <c:ptCount val="1"/>
                <c:pt idx="0">
                  <c:v>0.13851787873301294</c:v>
                </c:pt>
              </c:numCache>
            </c:numRef>
          </c:xVal>
          <c:yVal>
            <c:numRef>
              <c:f>'Min. Dis. Classifier (15.12.17)'!$D$166</c:f>
              <c:numCache>
                <c:formatCode>General</c:formatCode>
                <c:ptCount val="1"/>
                <c:pt idx="0">
                  <c:v>-0.61482402784515966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6B-4420-A590-CC5615B6D395}"/>
            </c:ext>
          </c:extLst>
        </c:ser>
        <c:ser>
          <c:idx val="4"/>
          <c:order val="4"/>
          <c:tx>
            <c:v>Centroid Ill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(15.12.17)'!$C$167</c:f>
              <c:numCache>
                <c:formatCode>General</c:formatCode>
                <c:ptCount val="1"/>
                <c:pt idx="0">
                  <c:v>0.74479232317997057</c:v>
                </c:pt>
              </c:numCache>
            </c:numRef>
          </c:xVal>
          <c:yVal>
            <c:numRef>
              <c:f>'Min. Dis. Classifier (15.12.17)'!$D$167</c:f>
              <c:numCache>
                <c:formatCode>General</c:formatCode>
                <c:ptCount val="1"/>
                <c:pt idx="0">
                  <c:v>0.95345914187261871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6B-4420-A590-CC5615B6D395}"/>
            </c:ext>
          </c:extLst>
        </c:ser>
        <c:ser>
          <c:idx val="5"/>
          <c:order val="5"/>
          <c:tx>
            <c:v>Centroid Normal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(15.12.17)'!$C$168</c:f>
              <c:numCache>
                <c:formatCode>General</c:formatCode>
                <c:ptCount val="1"/>
                <c:pt idx="0">
                  <c:v>-0.88331020191298204</c:v>
                </c:pt>
              </c:numCache>
            </c:numRef>
          </c:xVal>
          <c:yVal>
            <c:numRef>
              <c:f>'Min. Dis. Classifier (15.12.17)'!$D$168</c:f>
              <c:numCache>
                <c:formatCode>General</c:formatCode>
                <c:ptCount val="1"/>
                <c:pt idx="0">
                  <c:v>-0.33863511402745966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6B-4420-A590-CC5615B6D395}"/>
            </c:ext>
          </c:extLst>
        </c:ser>
        <c:ser>
          <c:idx val="6"/>
          <c:order val="6"/>
          <c:tx>
            <c:v>Elipse Risk</c:v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(15.12.17)'!$E$435:$E$525</c:f>
              <c:numCache>
                <c:formatCode>General</c:formatCode>
                <c:ptCount val="91"/>
                <c:pt idx="0">
                  <c:v>-0.57375622967502304</c:v>
                </c:pt>
                <c:pt idx="1">
                  <c:v>-0.54537787011750904</c:v>
                </c:pt>
                <c:pt idx="2">
                  <c:v>-0.51849672095439292</c:v>
                </c:pt>
                <c:pt idx="3">
                  <c:v>-0.49281051710845314</c:v>
                </c:pt>
                <c:pt idx="4">
                  <c:v>-0.46805340477364088</c:v>
                </c:pt>
                <c:pt idx="5">
                  <c:v>-0.4439873468126101</c:v>
                </c:pt>
                <c:pt idx="6">
                  <c:v>-0.42039453594418419</c:v>
                </c:pt>
                <c:pt idx="7">
                  <c:v>-0.39707061796697107</c:v>
                </c:pt>
                <c:pt idx="8">
                  <c:v>-0.37381846238874106</c:v>
                </c:pt>
                <c:pt idx="9">
                  <c:v>-0.35044219216603856</c:v>
                </c:pt>
                <c:pt idx="10">
                  <c:v>-0.32674116496405015</c:v>
                </c:pt>
                <c:pt idx="11">
                  <c:v>-0.30250356790689237</c:v>
                </c:pt>
                <c:pt idx="12">
                  <c:v>-0.27749923443766378</c:v>
                </c:pt>
                <c:pt idx="13">
                  <c:v>-0.25147120453746119</c:v>
                </c:pt>
                <c:pt idx="14">
                  <c:v>-0.22412541449830534</c:v>
                </c:pt>
                <c:pt idx="15">
                  <c:v>-0.1951177009408924</c:v>
                </c:pt>
                <c:pt idx="16">
                  <c:v>-0.16403700970053028</c:v>
                </c:pt>
                <c:pt idx="17">
                  <c:v>-0.13038327877723191</c:v>
                </c:pt>
                <c:pt idx="18">
                  <c:v>-9.3537874634352619E-2</c:v>
                </c:pt>
                <c:pt idx="19">
                  <c:v>-5.2723669775708498E-2</c:v>
                </c:pt>
                <c:pt idx="20">
                  <c:v>-6.9508822811918392E-3</c:v>
                </c:pt>
                <c:pt idx="21">
                  <c:v>4.5056110326606114E-2</c:v>
                </c:pt>
                <c:pt idx="22">
                  <c:v>0.10495575152396852</c:v>
                </c:pt>
                <c:pt idx="23">
                  <c:v>0.17491125049746875</c:v>
                </c:pt>
                <c:pt idx="24">
                  <c:v>0.25772404186647779</c:v>
                </c:pt>
                <c:pt idx="25">
                  <c:v>0.35692012231227954</c:v>
                </c:pt>
                <c:pt idx="26">
                  <c:v>0.47660824873407392</c:v>
                </c:pt>
                <c:pt idx="27">
                  <c:v>0.62064107446180861</c:v>
                </c:pt>
                <c:pt idx="28">
                  <c:v>0.79010308546733243</c:v>
                </c:pt>
                <c:pt idx="29">
                  <c:v>0.97795706860718723</c:v>
                </c:pt>
                <c:pt idx="30">
                  <c:v>1.1623506368362111</c:v>
                </c:pt>
                <c:pt idx="31">
                  <c:v>1.3082206775847698</c:v>
                </c:pt>
                <c:pt idx="32">
                  <c:v>1.3873142768396496</c:v>
                </c:pt>
                <c:pt idx="33">
                  <c:v>1.3991522013904343</c:v>
                </c:pt>
                <c:pt idx="34">
                  <c:v>1.365259956439949</c:v>
                </c:pt>
                <c:pt idx="35">
                  <c:v>1.3092237637553867</c:v>
                </c:pt>
                <c:pt idx="36">
                  <c:v>1.246592439946332</c:v>
                </c:pt>
                <c:pt idx="37">
                  <c:v>1.1851809565820555</c:v>
                </c:pt>
                <c:pt idx="38">
                  <c:v>1.1281325730362959</c:v>
                </c:pt>
                <c:pt idx="39">
                  <c:v>1.0762823512458382</c:v>
                </c:pt>
                <c:pt idx="40">
                  <c:v>1.0294642041395532</c:v>
                </c:pt>
                <c:pt idx="41">
                  <c:v>0.98714095477850394</c:v>
                </c:pt>
                <c:pt idx="42">
                  <c:v>0.94868441575515938</c:v>
                </c:pt>
                <c:pt idx="43">
                  <c:v>0.91348986043550751</c:v>
                </c:pt>
                <c:pt idx="44">
                  <c:v>0.88101586174334523</c:v>
                </c:pt>
                <c:pt idx="45">
                  <c:v>0.85079198714104898</c:v>
                </c:pt>
                <c:pt idx="46">
                  <c:v>0.82241362758353487</c:v>
                </c:pt>
                <c:pt idx="47">
                  <c:v>0.79553247842041885</c:v>
                </c:pt>
                <c:pt idx="48">
                  <c:v>0.76984627457447896</c:v>
                </c:pt>
                <c:pt idx="49">
                  <c:v>0.74508916223966681</c:v>
                </c:pt>
                <c:pt idx="50">
                  <c:v>0.72102310427863603</c:v>
                </c:pt>
                <c:pt idx="51">
                  <c:v>0.69743029341021012</c:v>
                </c:pt>
                <c:pt idx="52">
                  <c:v>0.67410637543299712</c:v>
                </c:pt>
                <c:pt idx="53">
                  <c:v>0.65085421985476688</c:v>
                </c:pt>
                <c:pt idx="54">
                  <c:v>0.6274779496320646</c:v>
                </c:pt>
                <c:pt idx="55">
                  <c:v>0.60377692243007619</c:v>
                </c:pt>
                <c:pt idx="56">
                  <c:v>0.5795393253729183</c:v>
                </c:pt>
                <c:pt idx="57">
                  <c:v>0.55453499190368971</c:v>
                </c:pt>
                <c:pt idx="58">
                  <c:v>0.52850696200348712</c:v>
                </c:pt>
                <c:pt idx="59">
                  <c:v>0.50116117196433141</c:v>
                </c:pt>
                <c:pt idx="60">
                  <c:v>0.47215345840691847</c:v>
                </c:pt>
                <c:pt idx="61">
                  <c:v>0.44107276716655597</c:v>
                </c:pt>
                <c:pt idx="62">
                  <c:v>0.40741903624325781</c:v>
                </c:pt>
                <c:pt idx="63">
                  <c:v>0.37057363210037852</c:v>
                </c:pt>
                <c:pt idx="64">
                  <c:v>0.32975942724173446</c:v>
                </c:pt>
                <c:pt idx="65">
                  <c:v>0.28398663974721777</c:v>
                </c:pt>
                <c:pt idx="66">
                  <c:v>0.23197964713941988</c:v>
                </c:pt>
                <c:pt idx="67">
                  <c:v>0.17208000594205766</c:v>
                </c:pt>
                <c:pt idx="68">
                  <c:v>0.10212450696855749</c:v>
                </c:pt>
                <c:pt idx="69">
                  <c:v>1.9311715599548293E-2</c:v>
                </c:pt>
                <c:pt idx="70">
                  <c:v>-7.9884364846253469E-2</c:v>
                </c:pt>
                <c:pt idx="71">
                  <c:v>-0.1995724912680478</c:v>
                </c:pt>
                <c:pt idx="72">
                  <c:v>-0.34360531699578234</c:v>
                </c:pt>
                <c:pt idx="73">
                  <c:v>-0.51306732800130683</c:v>
                </c:pt>
                <c:pt idx="74">
                  <c:v>-0.70092131114116152</c:v>
                </c:pt>
                <c:pt idx="75">
                  <c:v>-0.88531487937018405</c:v>
                </c:pt>
                <c:pt idx="76">
                  <c:v>-1.0311849201187437</c:v>
                </c:pt>
                <c:pt idx="77">
                  <c:v>-1.1102785193736235</c:v>
                </c:pt>
                <c:pt idx="78">
                  <c:v>-1.1221164439244082</c:v>
                </c:pt>
                <c:pt idx="79">
                  <c:v>-1.0882241989739223</c:v>
                </c:pt>
                <c:pt idx="80">
                  <c:v>-1.0321880062893609</c:v>
                </c:pt>
                <c:pt idx="81">
                  <c:v>-0.96955668248030558</c:v>
                </c:pt>
                <c:pt idx="82">
                  <c:v>-0.90814519911602953</c:v>
                </c:pt>
                <c:pt idx="83">
                  <c:v>-0.85109681557027017</c:v>
                </c:pt>
                <c:pt idx="84">
                  <c:v>-0.79924659377981266</c:v>
                </c:pt>
                <c:pt idx="85">
                  <c:v>-0.75242844667352748</c:v>
                </c:pt>
                <c:pt idx="86">
                  <c:v>-0.71010519731247856</c:v>
                </c:pt>
                <c:pt idx="87">
                  <c:v>-0.67164865828913356</c:v>
                </c:pt>
                <c:pt idx="88">
                  <c:v>-0.63645410296948179</c:v>
                </c:pt>
                <c:pt idx="89">
                  <c:v>-0.60398010427731963</c:v>
                </c:pt>
                <c:pt idx="90">
                  <c:v>-0.57375622967502315</c:v>
                </c:pt>
              </c:numCache>
            </c:numRef>
          </c:xVal>
          <c:yVal>
            <c:numRef>
              <c:f>'Min. Dis. Classifier (15.12.17)'!$F$435:$F$525</c:f>
              <c:numCache>
                <c:formatCode>General</c:formatCode>
                <c:ptCount val="91"/>
                <c:pt idx="0">
                  <c:v>-0.61482402784515977</c:v>
                </c:pt>
                <c:pt idx="1">
                  <c:v>-0.66264667726399651</c:v>
                </c:pt>
                <c:pt idx="2">
                  <c:v>-0.70716140809688544</c:v>
                </c:pt>
                <c:pt idx="3">
                  <c:v>-0.74901702094987233</c:v>
                </c:pt>
                <c:pt idx="4">
                  <c:v>-0.7887555445244907</c:v>
                </c:pt>
                <c:pt idx="5">
                  <c:v>-0.82683859124828718</c:v>
                </c:pt>
                <c:pt idx="6">
                  <c:v>-0.86366786743450774</c:v>
                </c:pt>
                <c:pt idx="7">
                  <c:v>-0.89960148302993415</c:v>
                </c:pt>
                <c:pt idx="8">
                  <c:v>-0.93496730528150618</c:v>
                </c:pt>
                <c:pt idx="9">
                  <c:v>-0.97007431384983711</c:v>
                </c:pt>
                <c:pt idx="10">
                  <c:v>-1.0052227198132595</c:v>
                </c:pt>
                <c:pt idx="11">
                  <c:v>-1.0407134883144931</c:v>
                </c:pt>
                <c:pt idx="12">
                  <c:v>-1.0768578401156259</c:v>
                </c:pt>
                <c:pt idx="13">
                  <c:v>-1.1139872916238529</c:v>
                </c:pt>
                <c:pt idx="14">
                  <c:v>-1.1524648198828329</c:v>
                </c:pt>
                <c:pt idx="15">
                  <c:v>-1.1926978030530582</c:v>
                </c:pt>
                <c:pt idx="16">
                  <c:v>-1.2351534778890485</c:v>
                </c:pt>
                <c:pt idx="17">
                  <c:v>-1.2803777476671914</c:v>
                </c:pt>
                <c:pt idx="18">
                  <c:v>-1.3290181996907018</c:v>
                </c:pt>
                <c:pt idx="19">
                  <c:v>-1.3818519843038097</c:v>
                </c:pt>
                <c:pt idx="20">
                  <c:v>-1.4398183675073328</c:v>
                </c:pt>
                <c:pt idx="21">
                  <c:v>-1.5040533549998614</c:v>
                </c:pt>
                <c:pt idx="22">
                  <c:v>-1.5759176033167954</c:v>
                </c:pt>
                <c:pt idx="23">
                  <c:v>-1.6569938395114225</c:v>
                </c:pt>
                <c:pt idx="24">
                  <c:v>-1.7489949090864565</c:v>
                </c:pt>
                <c:pt idx="25">
                  <c:v>-1.8534447012199724</c:v>
                </c:pt>
                <c:pt idx="26">
                  <c:v>-1.9708304376574932</c:v>
                </c:pt>
                <c:pt idx="27">
                  <c:v>-2.0986466502299961</c:v>
                </c:pt>
                <c:pt idx="28">
                  <c:v>-2.2275540069138136</c:v>
                </c:pt>
                <c:pt idx="29">
                  <c:v>-2.3359294236163914</c:v>
                </c:pt>
                <c:pt idx="30">
                  <c:v>-2.3881543833332746</c:v>
                </c:pt>
                <c:pt idx="31">
                  <c:v>-2.3489797421828831</c:v>
                </c:pt>
                <c:pt idx="32">
                  <c:v>-2.2132105279146059</c:v>
                </c:pt>
                <c:pt idx="33">
                  <c:v>-2.0149002832117144</c:v>
                </c:pt>
                <c:pt idx="34">
                  <c:v>-1.7994750818702547</c:v>
                </c:pt>
                <c:pt idx="35">
                  <c:v>-1.5971629041845046</c:v>
                </c:pt>
                <c:pt idx="36">
                  <c:v>-1.4198873207675153</c:v>
                </c:pt>
                <c:pt idx="37">
                  <c:v>-1.2688517069681127</c:v>
                </c:pt>
                <c:pt idx="38">
                  <c:v>-1.1410114945170062</c:v>
                </c:pt>
                <c:pt idx="39">
                  <c:v>-1.0323436710710978</c:v>
                </c:pt>
                <c:pt idx="40">
                  <c:v>-0.9391019706219903</c:v>
                </c:pt>
                <c:pt idx="41">
                  <c:v>-0.85816277914965022</c:v>
                </c:pt>
                <c:pt idx="42">
                  <c:v>-0.78703024133469579</c:v>
                </c:pt>
                <c:pt idx="43">
                  <c:v>-0.72373923702459464</c:v>
                </c:pt>
                <c:pt idx="44">
                  <c:v>-0.66674454467155897</c:v>
                </c:pt>
                <c:pt idx="45">
                  <c:v>-0.61482402784515966</c:v>
                </c:pt>
                <c:pt idx="46">
                  <c:v>-0.56700137842632303</c:v>
                </c:pt>
                <c:pt idx="47">
                  <c:v>-0.52248664759343399</c:v>
                </c:pt>
                <c:pt idx="48">
                  <c:v>-0.48063103474044699</c:v>
                </c:pt>
                <c:pt idx="49">
                  <c:v>-0.44089251116582895</c:v>
                </c:pt>
                <c:pt idx="50">
                  <c:v>-0.40280946444203219</c:v>
                </c:pt>
                <c:pt idx="51">
                  <c:v>-0.3659801882558118</c:v>
                </c:pt>
                <c:pt idx="52">
                  <c:v>-0.33004657266038523</c:v>
                </c:pt>
                <c:pt idx="53">
                  <c:v>-0.29468075040881314</c:v>
                </c:pt>
                <c:pt idx="54">
                  <c:v>-0.25957374184048215</c:v>
                </c:pt>
                <c:pt idx="55">
                  <c:v>-0.22442533587705993</c:v>
                </c:pt>
                <c:pt idx="56">
                  <c:v>-0.18893456737582615</c:v>
                </c:pt>
                <c:pt idx="57">
                  <c:v>-0.15279021557469352</c:v>
                </c:pt>
                <c:pt idx="58">
                  <c:v>-0.11566076406646647</c:v>
                </c:pt>
                <c:pt idx="59">
                  <c:v>-7.7183235807486539E-2</c:v>
                </c:pt>
                <c:pt idx="60">
                  <c:v>-3.6950252637261261E-2</c:v>
                </c:pt>
                <c:pt idx="61">
                  <c:v>5.5054221987290708E-3</c:v>
                </c:pt>
                <c:pt idx="62">
                  <c:v>5.072969197687216E-2</c:v>
                </c:pt>
                <c:pt idx="63">
                  <c:v>9.9370144000382132E-2</c:v>
                </c:pt>
                <c:pt idx="64">
                  <c:v>0.15220392861349041</c:v>
                </c:pt>
                <c:pt idx="65">
                  <c:v>0.2101703118170134</c:v>
                </c:pt>
                <c:pt idx="66">
                  <c:v>0.27440529930954183</c:v>
                </c:pt>
                <c:pt idx="67">
                  <c:v>0.34626954762647566</c:v>
                </c:pt>
                <c:pt idx="68">
                  <c:v>0.42734578382110266</c:v>
                </c:pt>
                <c:pt idx="69">
                  <c:v>0.51934685339613662</c:v>
                </c:pt>
                <c:pt idx="70">
                  <c:v>0.62379664552965297</c:v>
                </c:pt>
                <c:pt idx="71">
                  <c:v>0.74118238196717356</c:v>
                </c:pt>
                <c:pt idx="72">
                  <c:v>0.86899859453967665</c:v>
                </c:pt>
                <c:pt idx="73">
                  <c:v>0.99790595122349413</c:v>
                </c:pt>
                <c:pt idx="74">
                  <c:v>1.1062813679260719</c:v>
                </c:pt>
                <c:pt idx="75">
                  <c:v>1.1585063276429546</c:v>
                </c:pt>
                <c:pt idx="76">
                  <c:v>1.1193316864925644</c:v>
                </c:pt>
                <c:pt idx="77">
                  <c:v>0.98356247222428672</c:v>
                </c:pt>
                <c:pt idx="78">
                  <c:v>0.78525222752139523</c:v>
                </c:pt>
                <c:pt idx="79">
                  <c:v>0.56982702617993464</c:v>
                </c:pt>
                <c:pt idx="80">
                  <c:v>0.36751484849418581</c:v>
                </c:pt>
                <c:pt idx="81">
                  <c:v>0.19023926507719602</c:v>
                </c:pt>
                <c:pt idx="82">
                  <c:v>3.9203651277793461E-2</c:v>
                </c:pt>
                <c:pt idx="83">
                  <c:v>-8.8636561173312534E-2</c:v>
                </c:pt>
                <c:pt idx="84">
                  <c:v>-0.19730438461922117</c:v>
                </c:pt>
                <c:pt idx="85">
                  <c:v>-0.29054608506832885</c:v>
                </c:pt>
                <c:pt idx="86">
                  <c:v>-0.37148527654066854</c:v>
                </c:pt>
                <c:pt idx="87">
                  <c:v>-0.44261781435562353</c:v>
                </c:pt>
                <c:pt idx="88">
                  <c:v>-0.50590881866572435</c:v>
                </c:pt>
                <c:pt idx="89">
                  <c:v>-0.56290351101876013</c:v>
                </c:pt>
                <c:pt idx="90">
                  <c:v>-0.61482402784515955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6B-4420-A590-CC5615B6D395}"/>
            </c:ext>
          </c:extLst>
        </c:ser>
        <c:ser>
          <c:idx val="7"/>
          <c:order val="7"/>
          <c:tx>
            <c:v>Elipse Ill</c:v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(15.12.17)'!$J$435:$J$525</c:f>
              <c:numCache>
                <c:formatCode>General</c:formatCode>
                <c:ptCount val="91"/>
                <c:pt idx="0">
                  <c:v>-0.2395147344829005</c:v>
                </c:pt>
                <c:pt idx="1">
                  <c:v>-0.18367391827159529</c:v>
                </c:pt>
                <c:pt idx="2">
                  <c:v>-0.13274498396101897</c:v>
                </c:pt>
                <c:pt idx="3">
                  <c:v>-8.5769551844013026E-2</c:v>
                </c:pt>
                <c:pt idx="4">
                  <c:v>-4.1971340609854524E-2</c:v>
                </c:pt>
                <c:pt idx="5">
                  <c:v>-7.1177826143398182E-4</c:v>
                </c:pt>
                <c:pt idx="6">
                  <c:v>3.854398602237108E-2</c:v>
                </c:pt>
                <c:pt idx="7">
                  <c:v>7.6253272611058076E-2</c:v>
                </c:pt>
                <c:pt idx="8">
                  <c:v>0.11281637169436998</c:v>
                </c:pt>
                <c:pt idx="9">
                  <c:v>0.14859298778038887</c:v>
                </c:pt>
                <c:pt idx="10">
                  <c:v>0.18391589104363781</c:v>
                </c:pt>
                <c:pt idx="11">
                  <c:v>0.21910277265646982</c:v>
                </c:pt>
                <c:pt idx="12">
                  <c:v>0.25446713014608446</c:v>
                </c:pt>
                <c:pt idx="13">
                  <c:v>0.29032891953858553</c:v>
                </c:pt>
                <c:pt idx="14">
                  <c:v>0.32702569679100307</c:v>
                </c:pt>
                <c:pt idx="15">
                  <c:v>0.36492503327261361</c:v>
                </c:pt>
                <c:pt idx="16">
                  <c:v>0.40443914064406844</c:v>
                </c:pt>
                <c:pt idx="17">
                  <c:v>0.4460429045783954</c:v>
                </c:pt>
                <c:pt idx="18">
                  <c:v>0.49029694807744401</c:v>
                </c:pt>
                <c:pt idx="19">
                  <c:v>0.53787799402715664</c:v>
                </c:pt>
                <c:pt idx="20">
                  <c:v>0.5896197818022062</c:v>
                </c:pt>
                <c:pt idx="21">
                  <c:v>0.64656927490563931</c:v>
                </c:pt>
                <c:pt idx="22">
                  <c:v>0.71006509483608327</c:v>
                </c:pt>
                <c:pt idx="23">
                  <c:v>0.78184827005120017</c:v>
                </c:pt>
                <c:pt idx="24">
                  <c:v>0.86421955097107106</c:v>
                </c:pt>
                <c:pt idx="25">
                  <c:v>0.96026179768409947</c:v>
                </c:pt>
                <c:pt idx="26">
                  <c:v>1.0741457713046867</c:v>
                </c:pt>
                <c:pt idx="27">
                  <c:v>1.2115164060501415</c:v>
                </c:pt>
                <c:pt idx="28">
                  <c:v>1.3798592950357476</c:v>
                </c:pt>
                <c:pt idx="29">
                  <c:v>1.5884064393385757</c:v>
                </c:pt>
                <c:pt idx="30">
                  <c:v>1.8461219304115186</c:v>
                </c:pt>
                <c:pt idx="31">
                  <c:v>2.153968111057174</c:v>
                </c:pt>
                <c:pt idx="32">
                  <c:v>2.485918077829484</c:v>
                </c:pt>
                <c:pt idx="33">
                  <c:v>2.7674727330470312</c:v>
                </c:pt>
                <c:pt idx="34">
                  <c:v>2.9040186002798385</c:v>
                </c:pt>
                <c:pt idx="35">
                  <c:v>2.872282754190512</c:v>
                </c:pt>
                <c:pt idx="36">
                  <c:v>2.7360691231494583</c:v>
                </c:pt>
                <c:pt idx="37">
                  <c:v>2.5672284944321202</c:v>
                </c:pt>
                <c:pt idx="38">
                  <c:v>2.4043221972017874</c:v>
                </c:pt>
                <c:pt idx="39">
                  <c:v>2.2602849258706059</c:v>
                </c:pt>
                <c:pt idx="40">
                  <c:v>2.1365496343134458</c:v>
                </c:pt>
                <c:pt idx="41">
                  <c:v>2.0307388210379207</c:v>
                </c:pt>
                <c:pt idx="42">
                  <c:v>1.9397222335827009</c:v>
                </c:pt>
                <c:pt idx="43">
                  <c:v>1.8606216178769546</c:v>
                </c:pt>
                <c:pt idx="44">
                  <c:v>1.7910501857043006</c:v>
                </c:pt>
                <c:pt idx="45">
                  <c:v>1.7290993808428419</c:v>
                </c:pt>
                <c:pt idx="46">
                  <c:v>1.6732585646315365</c:v>
                </c:pt>
                <c:pt idx="47">
                  <c:v>1.6223296303209604</c:v>
                </c:pt>
                <c:pt idx="48">
                  <c:v>1.5753541982039541</c:v>
                </c:pt>
                <c:pt idx="49">
                  <c:v>1.5315559869697961</c:v>
                </c:pt>
                <c:pt idx="50">
                  <c:v>1.4902964246213752</c:v>
                </c:pt>
                <c:pt idx="51">
                  <c:v>1.4510406603375703</c:v>
                </c:pt>
                <c:pt idx="52">
                  <c:v>1.4133313737488835</c:v>
                </c:pt>
                <c:pt idx="53">
                  <c:v>1.3767682746655712</c:v>
                </c:pt>
                <c:pt idx="54">
                  <c:v>1.3409916585795525</c:v>
                </c:pt>
                <c:pt idx="55">
                  <c:v>1.3056687553163036</c:v>
                </c:pt>
                <c:pt idx="56">
                  <c:v>1.2704818737034713</c:v>
                </c:pt>
                <c:pt idx="57">
                  <c:v>1.2351175162138568</c:v>
                </c:pt>
                <c:pt idx="58">
                  <c:v>1.1992557268213555</c:v>
                </c:pt>
                <c:pt idx="59">
                  <c:v>1.1625589495689381</c:v>
                </c:pt>
                <c:pt idx="60">
                  <c:v>1.1246596130873276</c:v>
                </c:pt>
                <c:pt idx="61">
                  <c:v>1.0851455057158725</c:v>
                </c:pt>
                <c:pt idx="62">
                  <c:v>1.0435417417815458</c:v>
                </c:pt>
                <c:pt idx="63">
                  <c:v>0.99928769828249719</c:v>
                </c:pt>
                <c:pt idx="64">
                  <c:v>0.95170665233278462</c:v>
                </c:pt>
                <c:pt idx="65">
                  <c:v>0.89996486455773494</c:v>
                </c:pt>
                <c:pt idx="66">
                  <c:v>0.84301537145430194</c:v>
                </c:pt>
                <c:pt idx="67">
                  <c:v>0.77951955152385821</c:v>
                </c:pt>
                <c:pt idx="68">
                  <c:v>0.70773637630874142</c:v>
                </c:pt>
                <c:pt idx="69">
                  <c:v>0.6253650953888702</c:v>
                </c:pt>
                <c:pt idx="70">
                  <c:v>0.52932284867584189</c:v>
                </c:pt>
                <c:pt idx="71">
                  <c:v>0.41543887505525473</c:v>
                </c:pt>
                <c:pt idx="72">
                  <c:v>0.27806824030979982</c:v>
                </c:pt>
                <c:pt idx="73">
                  <c:v>0.10972535132419337</c:v>
                </c:pt>
                <c:pt idx="74">
                  <c:v>-9.8821792978635026E-2</c:v>
                </c:pt>
                <c:pt idx="75">
                  <c:v>-0.35653728405157603</c:v>
                </c:pt>
                <c:pt idx="76">
                  <c:v>-0.66438346469723253</c:v>
                </c:pt>
                <c:pt idx="77">
                  <c:v>-0.99633343146954279</c:v>
                </c:pt>
                <c:pt idx="78">
                  <c:v>-1.2778880866870899</c:v>
                </c:pt>
                <c:pt idx="79">
                  <c:v>-1.4144339539198989</c:v>
                </c:pt>
                <c:pt idx="80">
                  <c:v>-1.3826981078305716</c:v>
                </c:pt>
                <c:pt idx="81">
                  <c:v>-1.2464844767895182</c:v>
                </c:pt>
                <c:pt idx="82">
                  <c:v>-1.0776438480721793</c:v>
                </c:pt>
                <c:pt idx="83">
                  <c:v>-0.91473755084184616</c:v>
                </c:pt>
                <c:pt idx="84">
                  <c:v>-0.77070027951066533</c:v>
                </c:pt>
                <c:pt idx="85">
                  <c:v>-0.64696498795350521</c:v>
                </c:pt>
                <c:pt idx="86">
                  <c:v>-0.54115417467797988</c:v>
                </c:pt>
                <c:pt idx="87">
                  <c:v>-0.45013758722275987</c:v>
                </c:pt>
                <c:pt idx="88">
                  <c:v>-0.37103697151701376</c:v>
                </c:pt>
                <c:pt idx="89">
                  <c:v>-0.30146553934435982</c:v>
                </c:pt>
                <c:pt idx="90">
                  <c:v>-0.23951473448290073</c:v>
                </c:pt>
              </c:numCache>
            </c:numRef>
          </c:xVal>
          <c:yVal>
            <c:numRef>
              <c:f>'Min. Dis. Classifier (15.12.17)'!$K$435:$K$525</c:f>
              <c:numCache>
                <c:formatCode>General</c:formatCode>
                <c:ptCount val="91"/>
                <c:pt idx="0">
                  <c:v>0.9534591418726186</c:v>
                </c:pt>
                <c:pt idx="1">
                  <c:v>0.88853445761073691</c:v>
                </c:pt>
                <c:pt idx="2">
                  <c:v>0.8301293162445349</c:v>
                </c:pt>
                <c:pt idx="3">
                  <c:v>0.77691776546331415</c:v>
                </c:pt>
                <c:pt idx="4">
                  <c:v>0.72785829159819182</c:v>
                </c:pt>
                <c:pt idx="5">
                  <c:v>0.68211783942457582</c:v>
                </c:pt>
                <c:pt idx="6">
                  <c:v>0.63901712321860071</c:v>
                </c:pt>
                <c:pt idx="7">
                  <c:v>0.5979906232511174</c:v>
                </c:pt>
                <c:pt idx="8">
                  <c:v>0.5585567386455309</c:v>
                </c:pt>
                <c:pt idx="9">
                  <c:v>0.5202949695362904</c:v>
                </c:pt>
                <c:pt idx="10">
                  <c:v>0.48282793453099293</c:v>
                </c:pt>
                <c:pt idx="11">
                  <c:v>0.44580664389869806</c:v>
                </c:pt>
                <c:pt idx="12">
                  <c:v>0.40889784615314506</c:v>
                </c:pt>
                <c:pt idx="13">
                  <c:v>0.37177251124384236</c:v>
                </c:pt>
                <c:pt idx="14">
                  <c:v>0.33409464764109076</c:v>
                </c:pt>
                <c:pt idx="15">
                  <c:v>0.29550969561957996</c:v>
                </c:pt>
                <c:pt idx="16">
                  <c:v>0.2556317042255194</c:v>
                </c:pt>
                <c:pt idx="17">
                  <c:v>0.2140283834260982</c:v>
                </c:pt>
                <c:pt idx="18">
                  <c:v>0.17020291563233159</c:v>
                </c:pt>
                <c:pt idx="19">
                  <c:v>0.12357109563115287</c:v>
                </c:pt>
                <c:pt idx="20">
                  <c:v>7.3431929053026757E-2</c:v>
                </c:pt>
                <c:pt idx="21">
                  <c:v>1.8929262785931433E-2</c:v>
                </c:pt>
                <c:pt idx="22">
                  <c:v>-4.099856479659103E-2</c:v>
                </c:pt>
                <c:pt idx="23">
                  <c:v>-0.10768433837017233</c:v>
                </c:pt>
                <c:pt idx="24">
                  <c:v>-0.18281502908937142</c:v>
                </c:pt>
                <c:pt idx="25">
                  <c:v>-0.2685289715652287</c:v>
                </c:pt>
                <c:pt idx="26">
                  <c:v>-0.36750538826027868</c:v>
                </c:pt>
                <c:pt idx="27">
                  <c:v>-0.48296988438012523</c:v>
                </c:pt>
                <c:pt idx="28">
                  <c:v>-0.61838677120651153</c:v>
                </c:pt>
                <c:pt idx="29">
                  <c:v>-0.77620612129789224</c:v>
                </c:pt>
                <c:pt idx="30">
                  <c:v>-0.95409969373229819</c:v>
                </c:pt>
                <c:pt idx="31">
                  <c:v>-1.1357298790073127</c:v>
                </c:pt>
                <c:pt idx="32">
                  <c:v>-1.2750801983868856</c:v>
                </c:pt>
                <c:pt idx="33">
                  <c:v>-1.2929550348255794</c:v>
                </c:pt>
                <c:pt idx="34">
                  <c:v>-1.1316814361911924</c:v>
                </c:pt>
                <c:pt idx="35">
                  <c:v>-0.83171729412151885</c:v>
                </c:pt>
                <c:pt idx="36">
                  <c:v>-0.49328813833563834</c:v>
                </c:pt>
                <c:pt idx="37">
                  <c:v>-0.18532536735382832</c:v>
                </c:pt>
                <c:pt idx="38">
                  <c:v>7.1071455731233191E-2</c:v>
                </c:pt>
                <c:pt idx="39">
                  <c:v>0.27871836278185547</c:v>
                </c:pt>
                <c:pt idx="40">
                  <c:v>0.44690090729766796</c:v>
                </c:pt>
                <c:pt idx="41">
                  <c:v>0.58471991727915285</c:v>
                </c:pt>
                <c:pt idx="42">
                  <c:v>0.69946894868074683</c:v>
                </c:pt>
                <c:pt idx="43">
                  <c:v>0.79663956141052383</c:v>
                </c:pt>
                <c:pt idx="44">
                  <c:v>0.8802976650754607</c:v>
                </c:pt>
                <c:pt idx="45">
                  <c:v>0.95345914187261871</c:v>
                </c:pt>
                <c:pt idx="46">
                  <c:v>1.0183838261345004</c:v>
                </c:pt>
                <c:pt idx="47">
                  <c:v>1.0767889675007023</c:v>
                </c:pt>
                <c:pt idx="48">
                  <c:v>1.1300005182819233</c:v>
                </c:pt>
                <c:pt idx="49">
                  <c:v>1.1790599921470453</c:v>
                </c:pt>
                <c:pt idx="50">
                  <c:v>1.2248004443206615</c:v>
                </c:pt>
                <c:pt idx="51">
                  <c:v>1.2679011605266366</c:v>
                </c:pt>
                <c:pt idx="52">
                  <c:v>1.30892766049412</c:v>
                </c:pt>
                <c:pt idx="53">
                  <c:v>1.3483615450997064</c:v>
                </c:pt>
                <c:pt idx="54">
                  <c:v>1.386623314208947</c:v>
                </c:pt>
                <c:pt idx="55">
                  <c:v>1.4240903492142443</c:v>
                </c:pt>
                <c:pt idx="56">
                  <c:v>1.4611116398465396</c:v>
                </c:pt>
                <c:pt idx="57">
                  <c:v>1.4980204375920922</c:v>
                </c:pt>
                <c:pt idx="58">
                  <c:v>1.5351457725013951</c:v>
                </c:pt>
                <c:pt idx="59">
                  <c:v>1.5728236361041468</c:v>
                </c:pt>
                <c:pt idx="60">
                  <c:v>1.6114085881256572</c:v>
                </c:pt>
                <c:pt idx="61">
                  <c:v>1.6512865795197182</c:v>
                </c:pt>
                <c:pt idx="62">
                  <c:v>1.6928899003191393</c:v>
                </c:pt>
                <c:pt idx="63">
                  <c:v>1.7367153681129057</c:v>
                </c:pt>
                <c:pt idx="64">
                  <c:v>1.7833471881140843</c:v>
                </c:pt>
                <c:pt idx="65">
                  <c:v>1.8334863546922104</c:v>
                </c:pt>
                <c:pt idx="66">
                  <c:v>1.8879890209593058</c:v>
                </c:pt>
                <c:pt idx="67">
                  <c:v>1.9479168485418281</c:v>
                </c:pt>
                <c:pt idx="68">
                  <c:v>2.0146026221154094</c:v>
                </c:pt>
                <c:pt idx="69">
                  <c:v>2.0897333128346087</c:v>
                </c:pt>
                <c:pt idx="70">
                  <c:v>2.1754472553104658</c:v>
                </c:pt>
                <c:pt idx="71">
                  <c:v>2.2744236720055158</c:v>
                </c:pt>
                <c:pt idx="72">
                  <c:v>2.3898881681253625</c:v>
                </c:pt>
                <c:pt idx="73">
                  <c:v>2.5253050549517497</c:v>
                </c:pt>
                <c:pt idx="74">
                  <c:v>2.68312440504313</c:v>
                </c:pt>
                <c:pt idx="75">
                  <c:v>2.8610179774775344</c:v>
                </c:pt>
                <c:pt idx="76">
                  <c:v>3.0426481627525495</c:v>
                </c:pt>
                <c:pt idx="77">
                  <c:v>3.1819984821321228</c:v>
                </c:pt>
                <c:pt idx="78">
                  <c:v>3.199873318570817</c:v>
                </c:pt>
                <c:pt idx="79">
                  <c:v>3.0385997199364305</c:v>
                </c:pt>
                <c:pt idx="80">
                  <c:v>2.7386355778667579</c:v>
                </c:pt>
                <c:pt idx="81">
                  <c:v>2.4002064220808768</c:v>
                </c:pt>
                <c:pt idx="82">
                  <c:v>2.0922436510990656</c:v>
                </c:pt>
                <c:pt idx="83">
                  <c:v>1.835846828014005</c:v>
                </c:pt>
                <c:pt idx="84">
                  <c:v>1.6281999209633828</c:v>
                </c:pt>
                <c:pt idx="85">
                  <c:v>1.4600173764475701</c:v>
                </c:pt>
                <c:pt idx="86">
                  <c:v>1.3221983664660855</c:v>
                </c:pt>
                <c:pt idx="87">
                  <c:v>1.2074493350644906</c:v>
                </c:pt>
                <c:pt idx="88">
                  <c:v>1.1102787223347139</c:v>
                </c:pt>
                <c:pt idx="89">
                  <c:v>1.0266206186697771</c:v>
                </c:pt>
                <c:pt idx="90">
                  <c:v>0.95345914187261882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6B-4420-A590-CC5615B6D395}"/>
            </c:ext>
          </c:extLst>
        </c:ser>
        <c:ser>
          <c:idx val="8"/>
          <c:order val="8"/>
          <c:tx>
            <c:v>Elipse Normal</c:v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(15.12.17)'!$O$435:$O$525</c:f>
              <c:numCache>
                <c:formatCode>General</c:formatCode>
                <c:ptCount val="91"/>
                <c:pt idx="0">
                  <c:v>-2.4235606399355212</c:v>
                </c:pt>
                <c:pt idx="1">
                  <c:v>-2.3217904743535578</c:v>
                </c:pt>
                <c:pt idx="2">
                  <c:v>-2.223300956171077</c:v>
                </c:pt>
                <c:pt idx="3">
                  <c:v>-2.1296877835171704</c:v>
                </c:pt>
                <c:pt idx="4">
                  <c:v>-2.0415005239853001</c:v>
                </c:pt>
                <c:pt idx="5">
                  <c:v>-1.9586926867976886</c:v>
                </c:pt>
                <c:pt idx="6">
                  <c:v>-1.8809051600282132</c:v>
                </c:pt>
                <c:pt idx="7">
                  <c:v>-1.8076337884222224</c:v>
                </c:pt>
                <c:pt idx="8">
                  <c:v>-1.7383233668994809</c:v>
                </c:pt>
                <c:pt idx="9">
                  <c:v>-1.6724172763171321</c:v>
                </c:pt>
                <c:pt idx="10">
                  <c:v>-1.6093812867621615</c:v>
                </c:pt>
                <c:pt idx="11">
                  <c:v>-1.5487127195802493</c:v>
                </c:pt>
                <c:pt idx="12">
                  <c:v>-1.4899415233811011</c:v>
                </c:pt>
                <c:pt idx="13">
                  <c:v>-1.4326270089949651</c:v>
                </c:pt>
                <c:pt idx="14">
                  <c:v>-1.3763523230841375</c:v>
                </c:pt>
                <c:pt idx="15">
                  <c:v>-1.3207177649661739</c:v>
                </c:pt>
                <c:pt idx="16">
                  <c:v>-1.2653334826426739</c:v>
                </c:pt>
                <c:pt idx="17">
                  <c:v>-1.2098117515632132</c:v>
                </c:pt>
                <c:pt idx="18">
                  <c:v>-1.1537588430433716</c:v>
                </c:pt>
                <c:pt idx="19">
                  <c:v>-1.0967663709919215</c:v>
                </c:pt>
                <c:pt idx="20">
                  <c:v>-1.0384019346750595</c:v>
                </c:pt>
                <c:pt idx="21">
                  <c:v>-0.97819883865520951</c:v>
                </c:pt>
                <c:pt idx="22">
                  <c:v>-0.91564467102720104</c:v>
                </c:pt>
                <c:pt idx="23">
                  <c:v>-0.85016857756256126</c:v>
                </c:pt>
                <c:pt idx="24">
                  <c:v>-0.78112722881186225</c:v>
                </c:pt>
                <c:pt idx="25">
                  <c:v>-0.70778983104333237</c:v>
                </c:pt>
                <c:pt idx="26">
                  <c:v>-0.62932325078044737</c:v>
                </c:pt>
                <c:pt idx="27">
                  <c:v>-0.54477971633987998</c:v>
                </c:pt>
                <c:pt idx="28">
                  <c:v>-0.45309217449005823</c:v>
                </c:pt>
                <c:pt idx="29">
                  <c:v>-0.35308713917300982</c:v>
                </c:pt>
                <c:pt idx="30">
                  <c:v>-0.24353321184436216</c:v>
                </c:pt>
                <c:pt idx="31">
                  <c:v>-0.12325726063420595</c:v>
                </c:pt>
                <c:pt idx="32">
                  <c:v>8.6191684248085876E-3</c:v>
                </c:pt>
                <c:pt idx="33">
                  <c:v>0.15224638026829906</c:v>
                </c:pt>
                <c:pt idx="34">
                  <c:v>0.30632927125597853</c:v>
                </c:pt>
                <c:pt idx="35">
                  <c:v>0.46709713063795466</c:v>
                </c:pt>
                <c:pt idx="36">
                  <c:v>0.62715941389967977</c:v>
                </c:pt>
                <c:pt idx="37">
                  <c:v>0.77492841231803322</c:v>
                </c:pt>
                <c:pt idx="38">
                  <c:v>0.89579593955983905</c:v>
                </c:pt>
                <c:pt idx="39">
                  <c:v>0.97589578254246045</c:v>
                </c:pt>
                <c:pt idx="40">
                  <c:v>1.0072606345073698</c:v>
                </c:pt>
                <c:pt idx="41">
                  <c:v>0.99099024504681565</c:v>
                </c:pt>
                <c:pt idx="42">
                  <c:v>0.93600093180731869</c:v>
                </c:pt>
                <c:pt idx="43">
                  <c:v>0.85467585646229793</c:v>
                </c:pt>
                <c:pt idx="44">
                  <c:v>0.75869981783295615</c:v>
                </c:pt>
                <c:pt idx="45">
                  <c:v>0.65694023610955743</c:v>
                </c:pt>
                <c:pt idx="46">
                  <c:v>0.55517007052759382</c:v>
                </c:pt>
                <c:pt idx="47">
                  <c:v>0.45668055234511373</c:v>
                </c:pt>
                <c:pt idx="48">
                  <c:v>0.36306737969120617</c:v>
                </c:pt>
                <c:pt idx="49">
                  <c:v>0.27488012015933683</c:v>
                </c:pt>
                <c:pt idx="50">
                  <c:v>0.19207228297172485</c:v>
                </c:pt>
                <c:pt idx="51">
                  <c:v>0.11428475620224954</c:v>
                </c:pt>
                <c:pt idx="52">
                  <c:v>4.1013384596258806E-2</c:v>
                </c:pt>
                <c:pt idx="53">
                  <c:v>-2.829703692648311E-2</c:v>
                </c:pt>
                <c:pt idx="54">
                  <c:v>-9.4203127508831863E-2</c:v>
                </c:pt>
                <c:pt idx="55">
                  <c:v>-0.15723911706380234</c:v>
                </c:pt>
                <c:pt idx="56">
                  <c:v>-0.21790768424571494</c:v>
                </c:pt>
                <c:pt idx="57">
                  <c:v>-0.276678880444863</c:v>
                </c:pt>
                <c:pt idx="58">
                  <c:v>-0.33399339483099899</c:v>
                </c:pt>
                <c:pt idx="59">
                  <c:v>-0.39026808074182623</c:v>
                </c:pt>
                <c:pt idx="60">
                  <c:v>-0.44590263885978992</c:v>
                </c:pt>
                <c:pt idx="61">
                  <c:v>-0.50128692118329032</c:v>
                </c:pt>
                <c:pt idx="62">
                  <c:v>-0.55680865226275089</c:v>
                </c:pt>
                <c:pt idx="63">
                  <c:v>-0.61286156078259235</c:v>
                </c:pt>
                <c:pt idx="64">
                  <c:v>-0.66985403283404232</c:v>
                </c:pt>
                <c:pt idx="65">
                  <c:v>-0.72821846915090449</c:v>
                </c:pt>
                <c:pt idx="66">
                  <c:v>-0.78842156517075446</c:v>
                </c:pt>
                <c:pt idx="67">
                  <c:v>-0.85097573279876271</c:v>
                </c:pt>
                <c:pt idx="68">
                  <c:v>-0.91645182626340249</c:v>
                </c:pt>
                <c:pt idx="69">
                  <c:v>-0.98549317501410183</c:v>
                </c:pt>
                <c:pt idx="70">
                  <c:v>-1.0588305727826315</c:v>
                </c:pt>
                <c:pt idx="71">
                  <c:v>-1.1372971530455165</c:v>
                </c:pt>
                <c:pt idx="72">
                  <c:v>-1.2218406874860839</c:v>
                </c:pt>
                <c:pt idx="73">
                  <c:v>-1.3135282293359061</c:v>
                </c:pt>
                <c:pt idx="74">
                  <c:v>-1.4135332646529544</c:v>
                </c:pt>
                <c:pt idx="75">
                  <c:v>-1.5230871919816016</c:v>
                </c:pt>
                <c:pt idx="76">
                  <c:v>-1.6433631431917579</c:v>
                </c:pt>
                <c:pt idx="77">
                  <c:v>-1.7752395722507726</c:v>
                </c:pt>
                <c:pt idx="78">
                  <c:v>-1.9188667840942633</c:v>
                </c:pt>
                <c:pt idx="79">
                  <c:v>-2.0729496750819427</c:v>
                </c:pt>
                <c:pt idx="80">
                  <c:v>-2.233717534463918</c:v>
                </c:pt>
                <c:pt idx="81">
                  <c:v>-2.3937798177256431</c:v>
                </c:pt>
                <c:pt idx="82">
                  <c:v>-2.5415488161439974</c:v>
                </c:pt>
                <c:pt idx="83">
                  <c:v>-2.6624163433858024</c:v>
                </c:pt>
                <c:pt idx="84">
                  <c:v>-2.7425161863684249</c:v>
                </c:pt>
                <c:pt idx="85">
                  <c:v>-2.7738810383333341</c:v>
                </c:pt>
                <c:pt idx="86">
                  <c:v>-2.7576106488727801</c:v>
                </c:pt>
                <c:pt idx="87">
                  <c:v>-2.7026213356332827</c:v>
                </c:pt>
                <c:pt idx="88">
                  <c:v>-2.6212962602882621</c:v>
                </c:pt>
                <c:pt idx="89">
                  <c:v>-2.5253202216589203</c:v>
                </c:pt>
                <c:pt idx="90">
                  <c:v>-2.4235606399355216</c:v>
                </c:pt>
              </c:numCache>
            </c:numRef>
          </c:xVal>
          <c:yVal>
            <c:numRef>
              <c:f>'Min. Dis. Classifier (15.12.17)'!$P$435:$P$525</c:f>
              <c:numCache>
                <c:formatCode>General</c:formatCode>
                <c:ptCount val="91"/>
                <c:pt idx="0">
                  <c:v>-0.33863511402745983</c:v>
                </c:pt>
                <c:pt idx="1">
                  <c:v>-0.43922345352286174</c:v>
                </c:pt>
                <c:pt idx="2">
                  <c:v>-0.5269585331243799</c:v>
                </c:pt>
                <c:pt idx="3">
                  <c:v>-0.60356084731584325</c:v>
                </c:pt>
                <c:pt idx="4">
                  <c:v>-0.67074084471220519</c:v>
                </c:pt>
                <c:pt idx="5">
                  <c:v>-0.73004232897671728</c:v>
                </c:pt>
                <c:pt idx="6">
                  <c:v>-0.78279300569952859</c:v>
                </c:pt>
                <c:pt idx="7">
                  <c:v>-0.83010668288158795</c:v>
                </c:pt>
                <c:pt idx="8">
                  <c:v>-0.8729066363065161</c:v>
                </c:pt>
                <c:pt idx="9">
                  <c:v>-0.91195496273196541</c:v>
                </c:pt>
                <c:pt idx="10">
                  <c:v>-0.94788109353289407</c:v>
                </c:pt>
                <c:pt idx="11">
                  <c:v>-0.98120685606710523</c:v>
                </c:pt>
                <c:pt idx="12">
                  <c:v>-1.012367451537324</c:v>
                </c:pt>
                <c:pt idx="13">
                  <c:v>-1.0417285646750638</c:v>
                </c:pt>
                <c:pt idx="14">
                  <c:v>-1.0696001187085442</c:v>
                </c:pt>
                <c:pt idx="15">
                  <c:v>-1.0962472368504754</c:v>
                </c:pt>
                <c:pt idx="16">
                  <c:v>-1.1218989140802724</c:v>
                </c:pt>
                <c:pt idx="17">
                  <c:v>-1.146754807186795</c:v>
                </c:pt>
                <c:pt idx="18">
                  <c:v>-1.1709904444858781</c:v>
                </c:pt>
                <c:pt idx="19">
                  <c:v>-1.1947610471148737</c:v>
                </c:pt>
                <c:pt idx="20">
                  <c:v>-1.2182040384140382</c:v>
                </c:pt>
                <c:pt idx="21">
                  <c:v>-1.2414401865573492</c:v>
                </c:pt>
                <c:pt idx="22">
                  <c:v>-1.2645731613508531</c:v>
                </c:pt>
                <c:pt idx="23">
                  <c:v>-1.287687063133351</c:v>
                </c:pt>
                <c:pt idx="24">
                  <c:v>-1.310841161127537</c:v>
                </c:pt>
                <c:pt idx="25">
                  <c:v>-1.3340606023130612</c:v>
                </c:pt>
                <c:pt idx="26">
                  <c:v>-1.3573211349967291</c:v>
                </c:pt>
                <c:pt idx="27">
                  <c:v>-1.3805248163077404</c:v>
                </c:pt>
                <c:pt idx="28">
                  <c:v>-1.4034620978046302</c:v>
                </c:pt>
                <c:pt idx="29">
                  <c:v>-1.425753496457165</c:v>
                </c:pt>
                <c:pt idx="30">
                  <c:v>-1.446761366339798</c:v>
                </c:pt>
                <c:pt idx="31">
                  <c:v>-1.465459938770679</c:v>
                </c:pt>
                <c:pt idx="32">
                  <c:v>-1.4802526480985565</c:v>
                </c:pt>
                <c:pt idx="33">
                  <c:v>-1.4887372140117359</c:v>
                </c:pt>
                <c:pt idx="34">
                  <c:v>-1.4874565993341262</c:v>
                </c:pt>
                <c:pt idx="35">
                  <c:v>-1.471761408710045</c:v>
                </c:pt>
                <c:pt idx="36">
                  <c:v>-1.4360555271752773</c:v>
                </c:pt>
                <c:pt idx="37">
                  <c:v>-1.3748176022130156</c:v>
                </c:pt>
                <c:pt idx="38">
                  <c:v>-1.2846026293754198</c:v>
                </c:pt>
                <c:pt idx="39">
                  <c:v>-1.1664069502043191</c:v>
                </c:pt>
                <c:pt idx="40">
                  <c:v>-1.0267466242562251</c:v>
                </c:pt>
                <c:pt idx="41">
                  <c:v>-0.876082118718853</c:v>
                </c:pt>
                <c:pt idx="42">
                  <c:v>-0.72534163321903655</c:v>
                </c:pt>
                <c:pt idx="43">
                  <c:v>-0.58289312537264071</c:v>
                </c:pt>
                <c:pt idx="44">
                  <c:v>-0.45345563988759374</c:v>
                </c:pt>
                <c:pt idx="45">
                  <c:v>-0.33863511402745966</c:v>
                </c:pt>
                <c:pt idx="46">
                  <c:v>-0.23804677453205786</c:v>
                </c:pt>
                <c:pt idx="47">
                  <c:v>-0.15031169493053981</c:v>
                </c:pt>
                <c:pt idx="48">
                  <c:v>-7.3709380739076069E-2</c:v>
                </c:pt>
                <c:pt idx="49">
                  <c:v>-6.5293833427146342E-3</c:v>
                </c:pt>
                <c:pt idx="50">
                  <c:v>5.2772100921797849E-2</c:v>
                </c:pt>
                <c:pt idx="51">
                  <c:v>0.10552277764460904</c:v>
                </c:pt>
                <c:pt idx="52">
                  <c:v>0.15283645482666847</c:v>
                </c:pt>
                <c:pt idx="53">
                  <c:v>0.19563640825159684</c:v>
                </c:pt>
                <c:pt idx="54">
                  <c:v>0.23468473467704604</c:v>
                </c:pt>
                <c:pt idx="55">
                  <c:v>0.27061086547797458</c:v>
                </c:pt>
                <c:pt idx="56">
                  <c:v>0.30393662801218585</c:v>
                </c:pt>
                <c:pt idx="57">
                  <c:v>0.3350972234824045</c:v>
                </c:pt>
                <c:pt idx="58">
                  <c:v>0.36445833662014443</c:v>
                </c:pt>
                <c:pt idx="59">
                  <c:v>0.39232989065362506</c:v>
                </c:pt>
                <c:pt idx="60">
                  <c:v>0.41897700879555616</c:v>
                </c:pt>
                <c:pt idx="61">
                  <c:v>0.44462868602535305</c:v>
                </c:pt>
                <c:pt idx="62">
                  <c:v>0.46948457913187575</c:v>
                </c:pt>
                <c:pt idx="63">
                  <c:v>0.49372021643095859</c:v>
                </c:pt>
                <c:pt idx="64">
                  <c:v>0.51749081905995431</c:v>
                </c:pt>
                <c:pt idx="65">
                  <c:v>0.54093381035911881</c:v>
                </c:pt>
                <c:pt idx="66">
                  <c:v>0.56416995850242957</c:v>
                </c:pt>
                <c:pt idx="67">
                  <c:v>0.58730293329593364</c:v>
                </c:pt>
                <c:pt idx="68">
                  <c:v>0.61041683507843159</c:v>
                </c:pt>
                <c:pt idx="69">
                  <c:v>0.6335709330726178</c:v>
                </c:pt>
                <c:pt idx="70">
                  <c:v>0.6567903742581418</c:v>
                </c:pt>
                <c:pt idx="71">
                  <c:v>0.6800509069418097</c:v>
                </c:pt>
                <c:pt idx="72">
                  <c:v>0.70325458825282094</c:v>
                </c:pt>
                <c:pt idx="73">
                  <c:v>0.72619186974971095</c:v>
                </c:pt>
                <c:pt idx="74">
                  <c:v>0.74848326840224555</c:v>
                </c:pt>
                <c:pt idx="75">
                  <c:v>0.76949113828487881</c:v>
                </c:pt>
                <c:pt idx="76">
                  <c:v>0.78818971071575938</c:v>
                </c:pt>
                <c:pt idx="77">
                  <c:v>0.80298242004363707</c:v>
                </c:pt>
                <c:pt idx="78">
                  <c:v>0.81146698595681666</c:v>
                </c:pt>
                <c:pt idx="79">
                  <c:v>0.81018637127920656</c:v>
                </c:pt>
                <c:pt idx="80">
                  <c:v>0.79449118065512558</c:v>
                </c:pt>
                <c:pt idx="81">
                  <c:v>0.75878529912035764</c:v>
                </c:pt>
                <c:pt idx="82">
                  <c:v>0.6975473741580962</c:v>
                </c:pt>
                <c:pt idx="83">
                  <c:v>0.60733240132050081</c:v>
                </c:pt>
                <c:pt idx="84">
                  <c:v>0.48913672214940046</c:v>
                </c:pt>
                <c:pt idx="85">
                  <c:v>0.34947639620130638</c:v>
                </c:pt>
                <c:pt idx="86">
                  <c:v>0.19881189066393484</c:v>
                </c:pt>
                <c:pt idx="87">
                  <c:v>4.8071405164117287E-2</c:v>
                </c:pt>
                <c:pt idx="88">
                  <c:v>-9.437710268227803E-2</c:v>
                </c:pt>
                <c:pt idx="89">
                  <c:v>-0.22381458816732525</c:v>
                </c:pt>
                <c:pt idx="90">
                  <c:v>-0.33863511402745949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6B-4420-A590-CC5615B6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25536"/>
        <c:axId val="1"/>
      </c:scatterChart>
      <c:valAx>
        <c:axId val="643725536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3725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'Min. Dis. Classifier (15.12.17)'!$E$97</c:f>
              <c:strCache>
                <c:ptCount val="1"/>
                <c:pt idx="0">
                  <c:v>risk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'Min. Dis. Classifier (15.12.17)'!$C$97:$C$115</c:f>
              <c:numCache>
                <c:formatCode>General</c:formatCode>
                <c:ptCount val="19"/>
                <c:pt idx="0">
                  <c:v>-0.24155393643235079</c:v>
                </c:pt>
                <c:pt idx="1">
                  <c:v>0.3153075122670288</c:v>
                </c:pt>
                <c:pt idx="2">
                  <c:v>-0.27603304102310749</c:v>
                </c:pt>
                <c:pt idx="3">
                  <c:v>4.6324019577862578E-2</c:v>
                </c:pt>
                <c:pt idx="4">
                  <c:v>-0.63159363605109409</c:v>
                </c:pt>
                <c:pt idx="5">
                  <c:v>-0.21194303934855926</c:v>
                </c:pt>
                <c:pt idx="6">
                  <c:v>-0.91439923620457342</c:v>
                </c:pt>
                <c:pt idx="7">
                  <c:v>-0.90734432763535766</c:v>
                </c:pt>
                <c:pt idx="8">
                  <c:v>1.0140514738446511</c:v>
                </c:pt>
                <c:pt idx="9">
                  <c:v>0.40435073002007077</c:v>
                </c:pt>
                <c:pt idx="10">
                  <c:v>0.61636973718779409</c:v>
                </c:pt>
                <c:pt idx="11">
                  <c:v>0.35714718350920283</c:v>
                </c:pt>
                <c:pt idx="12">
                  <c:v>0.32815063578281106</c:v>
                </c:pt>
                <c:pt idx="13">
                  <c:v>0.44477923285352855</c:v>
                </c:pt>
                <c:pt idx="14">
                  <c:v>0.37764614402421509</c:v>
                </c:pt>
                <c:pt idx="15">
                  <c:v>0.42632552981068755</c:v>
                </c:pt>
                <c:pt idx="16">
                  <c:v>0.40813941253804958</c:v>
                </c:pt>
                <c:pt idx="17">
                  <c:v>0.60732947821750161</c:v>
                </c:pt>
                <c:pt idx="18">
                  <c:v>0.46878582298888483</c:v>
                </c:pt>
              </c:numCache>
            </c:numRef>
          </c:xVal>
          <c:yVal>
            <c:numRef>
              <c:f>'Min. Dis. Classifier (15.12.17)'!$D$97:$D$115</c:f>
              <c:numCache>
                <c:formatCode>General</c:formatCode>
                <c:ptCount val="19"/>
                <c:pt idx="0">
                  <c:v>0.57802319324453533</c:v>
                </c:pt>
                <c:pt idx="1">
                  <c:v>-0.28605050771036916</c:v>
                </c:pt>
                <c:pt idx="2">
                  <c:v>-0.99920637967340875</c:v>
                </c:pt>
                <c:pt idx="3">
                  <c:v>-1.2942180579330083</c:v>
                </c:pt>
                <c:pt idx="4">
                  <c:v>0.62012022560171776</c:v>
                </c:pt>
                <c:pt idx="5">
                  <c:v>7.9808842631682683E-2</c:v>
                </c:pt>
                <c:pt idx="6">
                  <c:v>0.30244501788394873</c:v>
                </c:pt>
                <c:pt idx="7">
                  <c:v>0.90529443810377241</c:v>
                </c:pt>
                <c:pt idx="8">
                  <c:v>-1.3603785864941356</c:v>
                </c:pt>
                <c:pt idx="9">
                  <c:v>-0.89577870406952387</c:v>
                </c:pt>
                <c:pt idx="10">
                  <c:v>-1.2190783140272792</c:v>
                </c:pt>
                <c:pt idx="11">
                  <c:v>-0.9317529874531254</c:v>
                </c:pt>
                <c:pt idx="12">
                  <c:v>-1.3512877176360876</c:v>
                </c:pt>
                <c:pt idx="13">
                  <c:v>-0.59593863309205464</c:v>
                </c:pt>
                <c:pt idx="14">
                  <c:v>-0.96332800382463968</c:v>
                </c:pt>
                <c:pt idx="15">
                  <c:v>-0.81599084820364842</c:v>
                </c:pt>
                <c:pt idx="16">
                  <c:v>-1.1486301621433548</c:v>
                </c:pt>
                <c:pt idx="17">
                  <c:v>-1.2251427962507946</c:v>
                </c:pt>
                <c:pt idx="18">
                  <c:v>-1.0805665480122584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6-49CE-890F-E9880D509DBC}"/>
            </c:ext>
          </c:extLst>
        </c:ser>
        <c:ser>
          <c:idx val="1"/>
          <c:order val="1"/>
          <c:tx>
            <c:strRef>
              <c:f>'Min. Dis. Classifier (15.12.17)'!$E$116</c:f>
              <c:strCache>
                <c:ptCount val="1"/>
                <c:pt idx="0">
                  <c:v>ill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'Min. Dis. Classifier (15.12.17)'!$C$116:$C$134</c:f>
              <c:numCache>
                <c:formatCode>General</c:formatCode>
                <c:ptCount val="19"/>
                <c:pt idx="0">
                  <c:v>0.72281909737066485</c:v>
                </c:pt>
                <c:pt idx="1">
                  <c:v>0.81974487749685632</c:v>
                </c:pt>
                <c:pt idx="2">
                  <c:v>1.2793151141721284</c:v>
                </c:pt>
                <c:pt idx="3">
                  <c:v>1.9950288339949405</c:v>
                </c:pt>
                <c:pt idx="4">
                  <c:v>-0.31649811236519682</c:v>
                </c:pt>
                <c:pt idx="5">
                  <c:v>-1.0951576224953685</c:v>
                </c:pt>
                <c:pt idx="6">
                  <c:v>-0.79632082202763121</c:v>
                </c:pt>
                <c:pt idx="7">
                  <c:v>0.32657131396819133</c:v>
                </c:pt>
                <c:pt idx="8">
                  <c:v>-0.82928595808315242</c:v>
                </c:pt>
                <c:pt idx="9">
                  <c:v>0.33442261201969165</c:v>
                </c:pt>
                <c:pt idx="10">
                  <c:v>0.7405934920529097</c:v>
                </c:pt>
                <c:pt idx="11">
                  <c:v>1.2608497570877817</c:v>
                </c:pt>
                <c:pt idx="12">
                  <c:v>1.4879258287381751</c:v>
                </c:pt>
                <c:pt idx="13">
                  <c:v>1.3748332568579478</c:v>
                </c:pt>
                <c:pt idx="14">
                  <c:v>1.5167648390660018</c:v>
                </c:pt>
                <c:pt idx="15">
                  <c:v>1.3884869682742502</c:v>
                </c:pt>
                <c:pt idx="16">
                  <c:v>1.1558738646414328</c:v>
                </c:pt>
                <c:pt idx="17">
                  <c:v>1.1982492576858779</c:v>
                </c:pt>
                <c:pt idx="18">
                  <c:v>1.5868375419639376</c:v>
                </c:pt>
              </c:numCache>
            </c:numRef>
          </c:xVal>
          <c:yVal>
            <c:numRef>
              <c:f>'Min. Dis. Classifier (15.12.17)'!$D$116:$D$134</c:f>
              <c:numCache>
                <c:formatCode>General</c:formatCode>
                <c:ptCount val="19"/>
                <c:pt idx="0">
                  <c:v>1.4632600364074799</c:v>
                </c:pt>
                <c:pt idx="1">
                  <c:v>0.70070050563428055</c:v>
                </c:pt>
                <c:pt idx="2">
                  <c:v>0.28917696948610522</c:v>
                </c:pt>
                <c:pt idx="3">
                  <c:v>7.9808842631682683E-2</c:v>
                </c:pt>
                <c:pt idx="4">
                  <c:v>2.0216962019402942</c:v>
                </c:pt>
                <c:pt idx="5">
                  <c:v>2.5533926942576741</c:v>
                </c:pt>
                <c:pt idx="6">
                  <c:v>2.9672842455709527</c:v>
                </c:pt>
                <c:pt idx="7">
                  <c:v>1.973314669899116</c:v>
                </c:pt>
                <c:pt idx="8">
                  <c:v>2.2451751048736845</c:v>
                </c:pt>
                <c:pt idx="9">
                  <c:v>0.49514740244093031</c:v>
                </c:pt>
                <c:pt idx="10">
                  <c:v>0.12592682390242932</c:v>
                </c:pt>
                <c:pt idx="11">
                  <c:v>-0.12883829980802888</c:v>
                </c:pt>
                <c:pt idx="12">
                  <c:v>0.11542268329878397</c:v>
                </c:pt>
                <c:pt idx="13">
                  <c:v>0.61809529982494227</c:v>
                </c:pt>
                <c:pt idx="14">
                  <c:v>0.30944880712945416</c:v>
                </c:pt>
                <c:pt idx="15">
                  <c:v>0.32350640944170317</c:v>
                </c:pt>
                <c:pt idx="16">
                  <c:v>0.50651019968372879</c:v>
                </c:pt>
                <c:pt idx="17">
                  <c:v>1.0436272057475449</c:v>
                </c:pt>
                <c:pt idx="18">
                  <c:v>0.41306789321700499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6-49CE-890F-E9880D509DBC}"/>
            </c:ext>
          </c:extLst>
        </c:ser>
        <c:ser>
          <c:idx val="2"/>
          <c:order val="2"/>
          <c:tx>
            <c:strRef>
              <c:f>'Min. Dis. Classifier (15.12.17)'!$E$135</c:f>
              <c:strCache>
                <c:ptCount val="1"/>
                <c:pt idx="0">
                  <c:v>normal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'Min. Dis. Classifier (15.12.17)'!$C$135:$C$153</c:f>
              <c:numCache>
                <c:formatCode>General</c:formatCode>
                <c:ptCount val="19"/>
                <c:pt idx="0">
                  <c:v>-1.2035810999089676</c:v>
                </c:pt>
                <c:pt idx="1">
                  <c:v>-0.89178278080383289</c:v>
                </c:pt>
                <c:pt idx="2">
                  <c:v>-0.26540424388171141</c:v>
                </c:pt>
                <c:pt idx="3">
                  <c:v>0.23207684122134703</c:v>
                </c:pt>
                <c:pt idx="4">
                  <c:v>-1.3887195627125</c:v>
                </c:pt>
                <c:pt idx="5">
                  <c:v>-2.1828236137887189</c:v>
                </c:pt>
                <c:pt idx="6">
                  <c:v>-2.5895687676100083</c:v>
                </c:pt>
                <c:pt idx="7">
                  <c:v>-1.919535722647693</c:v>
                </c:pt>
                <c:pt idx="8">
                  <c:v>-1.8058752682874046</c:v>
                </c:pt>
                <c:pt idx="9">
                  <c:v>-0.7179970355746027</c:v>
                </c:pt>
                <c:pt idx="10">
                  <c:v>-0.2477628988428705</c:v>
                </c:pt>
                <c:pt idx="11">
                  <c:v>-0.59833277235012861</c:v>
                </c:pt>
                <c:pt idx="12">
                  <c:v>-0.1466634948722603</c:v>
                </c:pt>
                <c:pt idx="13">
                  <c:v>-0.81345794053245057</c:v>
                </c:pt>
                <c:pt idx="14">
                  <c:v>-0.68039678946220605</c:v>
                </c:pt>
                <c:pt idx="15">
                  <c:v>-0.77591919728763703</c:v>
                </c:pt>
                <c:pt idx="16">
                  <c:v>-0.83880174576431288</c:v>
                </c:pt>
                <c:pt idx="17">
                  <c:v>-0.15219340556964991</c:v>
                </c:pt>
                <c:pt idx="18">
                  <c:v>0.20384566232894802</c:v>
                </c:pt>
              </c:numCache>
            </c:numRef>
          </c:xVal>
          <c:yVal>
            <c:numRef>
              <c:f>'Min. Dis. Classifier (15.12.17)'!$D$135:$D$153</c:f>
              <c:numCache>
                <c:formatCode>General</c:formatCode>
                <c:ptCount val="19"/>
                <c:pt idx="0">
                  <c:v>-0.36329341736720594</c:v>
                </c:pt>
                <c:pt idx="1">
                  <c:v>-0.46566324107790114</c:v>
                </c:pt>
                <c:pt idx="2">
                  <c:v>-0.41463900662576275</c:v>
                </c:pt>
                <c:pt idx="3">
                  <c:v>-0.3460249766009395</c:v>
                </c:pt>
                <c:pt idx="4">
                  <c:v>-0.73019775180373681</c:v>
                </c:pt>
                <c:pt idx="5">
                  <c:v>0.12924086324335493</c:v>
                </c:pt>
                <c:pt idx="6">
                  <c:v>0.21922665537197625</c:v>
                </c:pt>
                <c:pt idx="7">
                  <c:v>4.4848587377307901E-3</c:v>
                </c:pt>
                <c:pt idx="8">
                  <c:v>0.44397132417124635</c:v>
                </c:pt>
                <c:pt idx="9">
                  <c:v>4.4362183938506869E-2</c:v>
                </c:pt>
                <c:pt idx="10">
                  <c:v>-0.46844119064302958</c:v>
                </c:pt>
                <c:pt idx="11">
                  <c:v>6.0168381520767061E-2</c:v>
                </c:pt>
                <c:pt idx="12">
                  <c:v>-1.0136056523687589</c:v>
                </c:pt>
                <c:pt idx="13">
                  <c:v>-0.82009421507761504</c:v>
                </c:pt>
                <c:pt idx="14">
                  <c:v>-0.89859106033377723</c:v>
                </c:pt>
                <c:pt idx="15">
                  <c:v>0.24765937304321045</c:v>
                </c:pt>
                <c:pt idx="16">
                  <c:v>-0.48460289117574701</c:v>
                </c:pt>
                <c:pt idx="17">
                  <c:v>-0.20992822021262628</c:v>
                </c:pt>
                <c:pt idx="18">
                  <c:v>-1.368099183261426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6-49CE-890F-E9880D509DBC}"/>
            </c:ext>
          </c:extLst>
        </c:ser>
        <c:ser>
          <c:idx val="3"/>
          <c:order val="3"/>
          <c:tx>
            <c:v>Centroid Risk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(15.12.17)'!$C$166</c:f>
              <c:numCache>
                <c:formatCode>General</c:formatCode>
                <c:ptCount val="1"/>
                <c:pt idx="0">
                  <c:v>0.13851787873301294</c:v>
                </c:pt>
              </c:numCache>
            </c:numRef>
          </c:xVal>
          <c:yVal>
            <c:numRef>
              <c:f>'Min. Dis. Classifier (15.12.17)'!$D$166</c:f>
              <c:numCache>
                <c:formatCode>General</c:formatCode>
                <c:ptCount val="1"/>
                <c:pt idx="0">
                  <c:v>-0.61482402784515966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6-49CE-890F-E9880D509DBC}"/>
            </c:ext>
          </c:extLst>
        </c:ser>
        <c:ser>
          <c:idx val="4"/>
          <c:order val="4"/>
          <c:tx>
            <c:v>Centroid Ill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(15.12.17)'!$C$167</c:f>
              <c:numCache>
                <c:formatCode>General</c:formatCode>
                <c:ptCount val="1"/>
                <c:pt idx="0">
                  <c:v>0.74479232317997057</c:v>
                </c:pt>
              </c:numCache>
            </c:numRef>
          </c:xVal>
          <c:yVal>
            <c:numRef>
              <c:f>'Min. Dis. Classifier (15.12.17)'!$D$167</c:f>
              <c:numCache>
                <c:formatCode>General</c:formatCode>
                <c:ptCount val="1"/>
                <c:pt idx="0">
                  <c:v>0.95345914187261871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06-49CE-890F-E9880D509DBC}"/>
            </c:ext>
          </c:extLst>
        </c:ser>
        <c:ser>
          <c:idx val="5"/>
          <c:order val="5"/>
          <c:tx>
            <c:v>Centroid Normal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(15.12.17)'!$C$168</c:f>
              <c:numCache>
                <c:formatCode>General</c:formatCode>
                <c:ptCount val="1"/>
                <c:pt idx="0">
                  <c:v>-0.88331020191298204</c:v>
                </c:pt>
              </c:numCache>
            </c:numRef>
          </c:xVal>
          <c:yVal>
            <c:numRef>
              <c:f>'Min. Dis. Classifier (15.12.17)'!$D$168</c:f>
              <c:numCache>
                <c:formatCode>General</c:formatCode>
                <c:ptCount val="1"/>
                <c:pt idx="0">
                  <c:v>-0.33863511402745966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06-49CE-890F-E9880D509DBC}"/>
            </c:ext>
          </c:extLst>
        </c:ser>
        <c:ser>
          <c:idx val="6"/>
          <c:order val="6"/>
          <c:tx>
            <c:v>Elipse Risk</c:v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(15.12.17)'!$E$435:$E$525</c:f>
              <c:numCache>
                <c:formatCode>General</c:formatCode>
                <c:ptCount val="91"/>
                <c:pt idx="0">
                  <c:v>-0.57375622967502304</c:v>
                </c:pt>
                <c:pt idx="1">
                  <c:v>-0.54537787011750904</c:v>
                </c:pt>
                <c:pt idx="2">
                  <c:v>-0.51849672095439292</c:v>
                </c:pt>
                <c:pt idx="3">
                  <c:v>-0.49281051710845314</c:v>
                </c:pt>
                <c:pt idx="4">
                  <c:v>-0.46805340477364088</c:v>
                </c:pt>
                <c:pt idx="5">
                  <c:v>-0.4439873468126101</c:v>
                </c:pt>
                <c:pt idx="6">
                  <c:v>-0.42039453594418419</c:v>
                </c:pt>
                <c:pt idx="7">
                  <c:v>-0.39707061796697107</c:v>
                </c:pt>
                <c:pt idx="8">
                  <c:v>-0.37381846238874106</c:v>
                </c:pt>
                <c:pt idx="9">
                  <c:v>-0.35044219216603856</c:v>
                </c:pt>
                <c:pt idx="10">
                  <c:v>-0.32674116496405015</c:v>
                </c:pt>
                <c:pt idx="11">
                  <c:v>-0.30250356790689237</c:v>
                </c:pt>
                <c:pt idx="12">
                  <c:v>-0.27749923443766378</c:v>
                </c:pt>
                <c:pt idx="13">
                  <c:v>-0.25147120453746119</c:v>
                </c:pt>
                <c:pt idx="14">
                  <c:v>-0.22412541449830534</c:v>
                </c:pt>
                <c:pt idx="15">
                  <c:v>-0.1951177009408924</c:v>
                </c:pt>
                <c:pt idx="16">
                  <c:v>-0.16403700970053028</c:v>
                </c:pt>
                <c:pt idx="17">
                  <c:v>-0.13038327877723191</c:v>
                </c:pt>
                <c:pt idx="18">
                  <c:v>-9.3537874634352619E-2</c:v>
                </c:pt>
                <c:pt idx="19">
                  <c:v>-5.2723669775708498E-2</c:v>
                </c:pt>
                <c:pt idx="20">
                  <c:v>-6.9508822811918392E-3</c:v>
                </c:pt>
                <c:pt idx="21">
                  <c:v>4.5056110326606114E-2</c:v>
                </c:pt>
                <c:pt idx="22">
                  <c:v>0.10495575152396852</c:v>
                </c:pt>
                <c:pt idx="23">
                  <c:v>0.17491125049746875</c:v>
                </c:pt>
                <c:pt idx="24">
                  <c:v>0.25772404186647779</c:v>
                </c:pt>
                <c:pt idx="25">
                  <c:v>0.35692012231227954</c:v>
                </c:pt>
                <c:pt idx="26">
                  <c:v>0.47660824873407392</c:v>
                </c:pt>
                <c:pt idx="27">
                  <c:v>0.62064107446180861</c:v>
                </c:pt>
                <c:pt idx="28">
                  <c:v>0.79010308546733243</c:v>
                </c:pt>
                <c:pt idx="29">
                  <c:v>0.97795706860718723</c:v>
                </c:pt>
                <c:pt idx="30">
                  <c:v>1.1623506368362111</c:v>
                </c:pt>
                <c:pt idx="31">
                  <c:v>1.3082206775847698</c:v>
                </c:pt>
                <c:pt idx="32">
                  <c:v>1.3873142768396496</c:v>
                </c:pt>
                <c:pt idx="33">
                  <c:v>1.3991522013904343</c:v>
                </c:pt>
                <c:pt idx="34">
                  <c:v>1.365259956439949</c:v>
                </c:pt>
                <c:pt idx="35">
                  <c:v>1.3092237637553867</c:v>
                </c:pt>
                <c:pt idx="36">
                  <c:v>1.246592439946332</c:v>
                </c:pt>
                <c:pt idx="37">
                  <c:v>1.1851809565820555</c:v>
                </c:pt>
                <c:pt idx="38">
                  <c:v>1.1281325730362959</c:v>
                </c:pt>
                <c:pt idx="39">
                  <c:v>1.0762823512458382</c:v>
                </c:pt>
                <c:pt idx="40">
                  <c:v>1.0294642041395532</c:v>
                </c:pt>
                <c:pt idx="41">
                  <c:v>0.98714095477850394</c:v>
                </c:pt>
                <c:pt idx="42">
                  <c:v>0.94868441575515938</c:v>
                </c:pt>
                <c:pt idx="43">
                  <c:v>0.91348986043550751</c:v>
                </c:pt>
                <c:pt idx="44">
                  <c:v>0.88101586174334523</c:v>
                </c:pt>
                <c:pt idx="45">
                  <c:v>0.85079198714104898</c:v>
                </c:pt>
                <c:pt idx="46">
                  <c:v>0.82241362758353487</c:v>
                </c:pt>
                <c:pt idx="47">
                  <c:v>0.79553247842041885</c:v>
                </c:pt>
                <c:pt idx="48">
                  <c:v>0.76984627457447896</c:v>
                </c:pt>
                <c:pt idx="49">
                  <c:v>0.74508916223966681</c:v>
                </c:pt>
                <c:pt idx="50">
                  <c:v>0.72102310427863603</c:v>
                </c:pt>
                <c:pt idx="51">
                  <c:v>0.69743029341021012</c:v>
                </c:pt>
                <c:pt idx="52">
                  <c:v>0.67410637543299712</c:v>
                </c:pt>
                <c:pt idx="53">
                  <c:v>0.65085421985476688</c:v>
                </c:pt>
                <c:pt idx="54">
                  <c:v>0.6274779496320646</c:v>
                </c:pt>
                <c:pt idx="55">
                  <c:v>0.60377692243007619</c:v>
                </c:pt>
                <c:pt idx="56">
                  <c:v>0.5795393253729183</c:v>
                </c:pt>
                <c:pt idx="57">
                  <c:v>0.55453499190368971</c:v>
                </c:pt>
                <c:pt idx="58">
                  <c:v>0.52850696200348712</c:v>
                </c:pt>
                <c:pt idx="59">
                  <c:v>0.50116117196433141</c:v>
                </c:pt>
                <c:pt idx="60">
                  <c:v>0.47215345840691847</c:v>
                </c:pt>
                <c:pt idx="61">
                  <c:v>0.44107276716655597</c:v>
                </c:pt>
                <c:pt idx="62">
                  <c:v>0.40741903624325781</c:v>
                </c:pt>
                <c:pt idx="63">
                  <c:v>0.37057363210037852</c:v>
                </c:pt>
                <c:pt idx="64">
                  <c:v>0.32975942724173446</c:v>
                </c:pt>
                <c:pt idx="65">
                  <c:v>0.28398663974721777</c:v>
                </c:pt>
                <c:pt idx="66">
                  <c:v>0.23197964713941988</c:v>
                </c:pt>
                <c:pt idx="67">
                  <c:v>0.17208000594205766</c:v>
                </c:pt>
                <c:pt idx="68">
                  <c:v>0.10212450696855749</c:v>
                </c:pt>
                <c:pt idx="69">
                  <c:v>1.9311715599548293E-2</c:v>
                </c:pt>
                <c:pt idx="70">
                  <c:v>-7.9884364846253469E-2</c:v>
                </c:pt>
                <c:pt idx="71">
                  <c:v>-0.1995724912680478</c:v>
                </c:pt>
                <c:pt idx="72">
                  <c:v>-0.34360531699578234</c:v>
                </c:pt>
                <c:pt idx="73">
                  <c:v>-0.51306732800130683</c:v>
                </c:pt>
                <c:pt idx="74">
                  <c:v>-0.70092131114116152</c:v>
                </c:pt>
                <c:pt idx="75">
                  <c:v>-0.88531487937018405</c:v>
                </c:pt>
                <c:pt idx="76">
                  <c:v>-1.0311849201187437</c:v>
                </c:pt>
                <c:pt idx="77">
                  <c:v>-1.1102785193736235</c:v>
                </c:pt>
                <c:pt idx="78">
                  <c:v>-1.1221164439244082</c:v>
                </c:pt>
                <c:pt idx="79">
                  <c:v>-1.0882241989739223</c:v>
                </c:pt>
                <c:pt idx="80">
                  <c:v>-1.0321880062893609</c:v>
                </c:pt>
                <c:pt idx="81">
                  <c:v>-0.96955668248030558</c:v>
                </c:pt>
                <c:pt idx="82">
                  <c:v>-0.90814519911602953</c:v>
                </c:pt>
                <c:pt idx="83">
                  <c:v>-0.85109681557027017</c:v>
                </c:pt>
                <c:pt idx="84">
                  <c:v>-0.79924659377981266</c:v>
                </c:pt>
                <c:pt idx="85">
                  <c:v>-0.75242844667352748</c:v>
                </c:pt>
                <c:pt idx="86">
                  <c:v>-0.71010519731247856</c:v>
                </c:pt>
                <c:pt idx="87">
                  <c:v>-0.67164865828913356</c:v>
                </c:pt>
                <c:pt idx="88">
                  <c:v>-0.63645410296948179</c:v>
                </c:pt>
                <c:pt idx="89">
                  <c:v>-0.60398010427731963</c:v>
                </c:pt>
                <c:pt idx="90">
                  <c:v>-0.57375622967502315</c:v>
                </c:pt>
              </c:numCache>
            </c:numRef>
          </c:xVal>
          <c:yVal>
            <c:numRef>
              <c:f>'Min. Dis. Classifier (15.12.17)'!$F$435:$F$525</c:f>
              <c:numCache>
                <c:formatCode>General</c:formatCode>
                <c:ptCount val="91"/>
                <c:pt idx="0">
                  <c:v>-0.61482402784515977</c:v>
                </c:pt>
                <c:pt idx="1">
                  <c:v>-0.66264667726399651</c:v>
                </c:pt>
                <c:pt idx="2">
                  <c:v>-0.70716140809688544</c:v>
                </c:pt>
                <c:pt idx="3">
                  <c:v>-0.74901702094987233</c:v>
                </c:pt>
                <c:pt idx="4">
                  <c:v>-0.7887555445244907</c:v>
                </c:pt>
                <c:pt idx="5">
                  <c:v>-0.82683859124828718</c:v>
                </c:pt>
                <c:pt idx="6">
                  <c:v>-0.86366786743450774</c:v>
                </c:pt>
                <c:pt idx="7">
                  <c:v>-0.89960148302993415</c:v>
                </c:pt>
                <c:pt idx="8">
                  <c:v>-0.93496730528150618</c:v>
                </c:pt>
                <c:pt idx="9">
                  <c:v>-0.97007431384983711</c:v>
                </c:pt>
                <c:pt idx="10">
                  <c:v>-1.0052227198132595</c:v>
                </c:pt>
                <c:pt idx="11">
                  <c:v>-1.0407134883144931</c:v>
                </c:pt>
                <c:pt idx="12">
                  <c:v>-1.0768578401156259</c:v>
                </c:pt>
                <c:pt idx="13">
                  <c:v>-1.1139872916238529</c:v>
                </c:pt>
                <c:pt idx="14">
                  <c:v>-1.1524648198828329</c:v>
                </c:pt>
                <c:pt idx="15">
                  <c:v>-1.1926978030530582</c:v>
                </c:pt>
                <c:pt idx="16">
                  <c:v>-1.2351534778890485</c:v>
                </c:pt>
                <c:pt idx="17">
                  <c:v>-1.2803777476671914</c:v>
                </c:pt>
                <c:pt idx="18">
                  <c:v>-1.3290181996907018</c:v>
                </c:pt>
                <c:pt idx="19">
                  <c:v>-1.3818519843038097</c:v>
                </c:pt>
                <c:pt idx="20">
                  <c:v>-1.4398183675073328</c:v>
                </c:pt>
                <c:pt idx="21">
                  <c:v>-1.5040533549998614</c:v>
                </c:pt>
                <c:pt idx="22">
                  <c:v>-1.5759176033167954</c:v>
                </c:pt>
                <c:pt idx="23">
                  <c:v>-1.6569938395114225</c:v>
                </c:pt>
                <c:pt idx="24">
                  <c:v>-1.7489949090864565</c:v>
                </c:pt>
                <c:pt idx="25">
                  <c:v>-1.8534447012199724</c:v>
                </c:pt>
                <c:pt idx="26">
                  <c:v>-1.9708304376574932</c:v>
                </c:pt>
                <c:pt idx="27">
                  <c:v>-2.0986466502299961</c:v>
                </c:pt>
                <c:pt idx="28">
                  <c:v>-2.2275540069138136</c:v>
                </c:pt>
                <c:pt idx="29">
                  <c:v>-2.3359294236163914</c:v>
                </c:pt>
                <c:pt idx="30">
                  <c:v>-2.3881543833332746</c:v>
                </c:pt>
                <c:pt idx="31">
                  <c:v>-2.3489797421828831</c:v>
                </c:pt>
                <c:pt idx="32">
                  <c:v>-2.2132105279146059</c:v>
                </c:pt>
                <c:pt idx="33">
                  <c:v>-2.0149002832117144</c:v>
                </c:pt>
                <c:pt idx="34">
                  <c:v>-1.7994750818702547</c:v>
                </c:pt>
                <c:pt idx="35">
                  <c:v>-1.5971629041845046</c:v>
                </c:pt>
                <c:pt idx="36">
                  <c:v>-1.4198873207675153</c:v>
                </c:pt>
                <c:pt idx="37">
                  <c:v>-1.2688517069681127</c:v>
                </c:pt>
                <c:pt idx="38">
                  <c:v>-1.1410114945170062</c:v>
                </c:pt>
                <c:pt idx="39">
                  <c:v>-1.0323436710710978</c:v>
                </c:pt>
                <c:pt idx="40">
                  <c:v>-0.9391019706219903</c:v>
                </c:pt>
                <c:pt idx="41">
                  <c:v>-0.85816277914965022</c:v>
                </c:pt>
                <c:pt idx="42">
                  <c:v>-0.78703024133469579</c:v>
                </c:pt>
                <c:pt idx="43">
                  <c:v>-0.72373923702459464</c:v>
                </c:pt>
                <c:pt idx="44">
                  <c:v>-0.66674454467155897</c:v>
                </c:pt>
                <c:pt idx="45">
                  <c:v>-0.61482402784515966</c:v>
                </c:pt>
                <c:pt idx="46">
                  <c:v>-0.56700137842632303</c:v>
                </c:pt>
                <c:pt idx="47">
                  <c:v>-0.52248664759343399</c:v>
                </c:pt>
                <c:pt idx="48">
                  <c:v>-0.48063103474044699</c:v>
                </c:pt>
                <c:pt idx="49">
                  <c:v>-0.44089251116582895</c:v>
                </c:pt>
                <c:pt idx="50">
                  <c:v>-0.40280946444203219</c:v>
                </c:pt>
                <c:pt idx="51">
                  <c:v>-0.3659801882558118</c:v>
                </c:pt>
                <c:pt idx="52">
                  <c:v>-0.33004657266038523</c:v>
                </c:pt>
                <c:pt idx="53">
                  <c:v>-0.29468075040881314</c:v>
                </c:pt>
                <c:pt idx="54">
                  <c:v>-0.25957374184048215</c:v>
                </c:pt>
                <c:pt idx="55">
                  <c:v>-0.22442533587705993</c:v>
                </c:pt>
                <c:pt idx="56">
                  <c:v>-0.18893456737582615</c:v>
                </c:pt>
                <c:pt idx="57">
                  <c:v>-0.15279021557469352</c:v>
                </c:pt>
                <c:pt idx="58">
                  <c:v>-0.11566076406646647</c:v>
                </c:pt>
                <c:pt idx="59">
                  <c:v>-7.7183235807486539E-2</c:v>
                </c:pt>
                <c:pt idx="60">
                  <c:v>-3.6950252637261261E-2</c:v>
                </c:pt>
                <c:pt idx="61">
                  <c:v>5.5054221987290708E-3</c:v>
                </c:pt>
                <c:pt idx="62">
                  <c:v>5.072969197687216E-2</c:v>
                </c:pt>
                <c:pt idx="63">
                  <c:v>9.9370144000382132E-2</c:v>
                </c:pt>
                <c:pt idx="64">
                  <c:v>0.15220392861349041</c:v>
                </c:pt>
                <c:pt idx="65">
                  <c:v>0.2101703118170134</c:v>
                </c:pt>
                <c:pt idx="66">
                  <c:v>0.27440529930954183</c:v>
                </c:pt>
                <c:pt idx="67">
                  <c:v>0.34626954762647566</c:v>
                </c:pt>
                <c:pt idx="68">
                  <c:v>0.42734578382110266</c:v>
                </c:pt>
                <c:pt idx="69">
                  <c:v>0.51934685339613662</c:v>
                </c:pt>
                <c:pt idx="70">
                  <c:v>0.62379664552965297</c:v>
                </c:pt>
                <c:pt idx="71">
                  <c:v>0.74118238196717356</c:v>
                </c:pt>
                <c:pt idx="72">
                  <c:v>0.86899859453967665</c:v>
                </c:pt>
                <c:pt idx="73">
                  <c:v>0.99790595122349413</c:v>
                </c:pt>
                <c:pt idx="74">
                  <c:v>1.1062813679260719</c:v>
                </c:pt>
                <c:pt idx="75">
                  <c:v>1.1585063276429546</c:v>
                </c:pt>
                <c:pt idx="76">
                  <c:v>1.1193316864925644</c:v>
                </c:pt>
                <c:pt idx="77">
                  <c:v>0.98356247222428672</c:v>
                </c:pt>
                <c:pt idx="78">
                  <c:v>0.78525222752139523</c:v>
                </c:pt>
                <c:pt idx="79">
                  <c:v>0.56982702617993464</c:v>
                </c:pt>
                <c:pt idx="80">
                  <c:v>0.36751484849418581</c:v>
                </c:pt>
                <c:pt idx="81">
                  <c:v>0.19023926507719602</c:v>
                </c:pt>
                <c:pt idx="82">
                  <c:v>3.9203651277793461E-2</c:v>
                </c:pt>
                <c:pt idx="83">
                  <c:v>-8.8636561173312534E-2</c:v>
                </c:pt>
                <c:pt idx="84">
                  <c:v>-0.19730438461922117</c:v>
                </c:pt>
                <c:pt idx="85">
                  <c:v>-0.29054608506832885</c:v>
                </c:pt>
                <c:pt idx="86">
                  <c:v>-0.37148527654066854</c:v>
                </c:pt>
                <c:pt idx="87">
                  <c:v>-0.44261781435562353</c:v>
                </c:pt>
                <c:pt idx="88">
                  <c:v>-0.50590881866572435</c:v>
                </c:pt>
                <c:pt idx="89">
                  <c:v>-0.56290351101876013</c:v>
                </c:pt>
                <c:pt idx="90">
                  <c:v>-0.61482402784515955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06-49CE-890F-E9880D509DBC}"/>
            </c:ext>
          </c:extLst>
        </c:ser>
        <c:ser>
          <c:idx val="7"/>
          <c:order val="7"/>
          <c:tx>
            <c:v>Elipse Ill</c:v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(15.12.17)'!$J$435:$J$525</c:f>
              <c:numCache>
                <c:formatCode>General</c:formatCode>
                <c:ptCount val="91"/>
                <c:pt idx="0">
                  <c:v>-0.2395147344829005</c:v>
                </c:pt>
                <c:pt idx="1">
                  <c:v>-0.18367391827159529</c:v>
                </c:pt>
                <c:pt idx="2">
                  <c:v>-0.13274498396101897</c:v>
                </c:pt>
                <c:pt idx="3">
                  <c:v>-8.5769551844013026E-2</c:v>
                </c:pt>
                <c:pt idx="4">
                  <c:v>-4.1971340609854524E-2</c:v>
                </c:pt>
                <c:pt idx="5">
                  <c:v>-7.1177826143398182E-4</c:v>
                </c:pt>
                <c:pt idx="6">
                  <c:v>3.854398602237108E-2</c:v>
                </c:pt>
                <c:pt idx="7">
                  <c:v>7.6253272611058076E-2</c:v>
                </c:pt>
                <c:pt idx="8">
                  <c:v>0.11281637169436998</c:v>
                </c:pt>
                <c:pt idx="9">
                  <c:v>0.14859298778038887</c:v>
                </c:pt>
                <c:pt idx="10">
                  <c:v>0.18391589104363781</c:v>
                </c:pt>
                <c:pt idx="11">
                  <c:v>0.21910277265646982</c:v>
                </c:pt>
                <c:pt idx="12">
                  <c:v>0.25446713014608446</c:v>
                </c:pt>
                <c:pt idx="13">
                  <c:v>0.29032891953858553</c:v>
                </c:pt>
                <c:pt idx="14">
                  <c:v>0.32702569679100307</c:v>
                </c:pt>
                <c:pt idx="15">
                  <c:v>0.36492503327261361</c:v>
                </c:pt>
                <c:pt idx="16">
                  <c:v>0.40443914064406844</c:v>
                </c:pt>
                <c:pt idx="17">
                  <c:v>0.4460429045783954</c:v>
                </c:pt>
                <c:pt idx="18">
                  <c:v>0.49029694807744401</c:v>
                </c:pt>
                <c:pt idx="19">
                  <c:v>0.53787799402715664</c:v>
                </c:pt>
                <c:pt idx="20">
                  <c:v>0.5896197818022062</c:v>
                </c:pt>
                <c:pt idx="21">
                  <c:v>0.64656927490563931</c:v>
                </c:pt>
                <c:pt idx="22">
                  <c:v>0.71006509483608327</c:v>
                </c:pt>
                <c:pt idx="23">
                  <c:v>0.78184827005120017</c:v>
                </c:pt>
                <c:pt idx="24">
                  <c:v>0.86421955097107106</c:v>
                </c:pt>
                <c:pt idx="25">
                  <c:v>0.96026179768409947</c:v>
                </c:pt>
                <c:pt idx="26">
                  <c:v>1.0741457713046867</c:v>
                </c:pt>
                <c:pt idx="27">
                  <c:v>1.2115164060501415</c:v>
                </c:pt>
                <c:pt idx="28">
                  <c:v>1.3798592950357476</c:v>
                </c:pt>
                <c:pt idx="29">
                  <c:v>1.5884064393385757</c:v>
                </c:pt>
                <c:pt idx="30">
                  <c:v>1.8461219304115186</c:v>
                </c:pt>
                <c:pt idx="31">
                  <c:v>2.153968111057174</c:v>
                </c:pt>
                <c:pt idx="32">
                  <c:v>2.485918077829484</c:v>
                </c:pt>
                <c:pt idx="33">
                  <c:v>2.7674727330470312</c:v>
                </c:pt>
                <c:pt idx="34">
                  <c:v>2.9040186002798385</c:v>
                </c:pt>
                <c:pt idx="35">
                  <c:v>2.872282754190512</c:v>
                </c:pt>
                <c:pt idx="36">
                  <c:v>2.7360691231494583</c:v>
                </c:pt>
                <c:pt idx="37">
                  <c:v>2.5672284944321202</c:v>
                </c:pt>
                <c:pt idx="38">
                  <c:v>2.4043221972017874</c:v>
                </c:pt>
                <c:pt idx="39">
                  <c:v>2.2602849258706059</c:v>
                </c:pt>
                <c:pt idx="40">
                  <c:v>2.1365496343134458</c:v>
                </c:pt>
                <c:pt idx="41">
                  <c:v>2.0307388210379207</c:v>
                </c:pt>
                <c:pt idx="42">
                  <c:v>1.9397222335827009</c:v>
                </c:pt>
                <c:pt idx="43">
                  <c:v>1.8606216178769546</c:v>
                </c:pt>
                <c:pt idx="44">
                  <c:v>1.7910501857043006</c:v>
                </c:pt>
                <c:pt idx="45">
                  <c:v>1.7290993808428419</c:v>
                </c:pt>
                <c:pt idx="46">
                  <c:v>1.6732585646315365</c:v>
                </c:pt>
                <c:pt idx="47">
                  <c:v>1.6223296303209604</c:v>
                </c:pt>
                <c:pt idx="48">
                  <c:v>1.5753541982039541</c:v>
                </c:pt>
                <c:pt idx="49">
                  <c:v>1.5315559869697961</c:v>
                </c:pt>
                <c:pt idx="50">
                  <c:v>1.4902964246213752</c:v>
                </c:pt>
                <c:pt idx="51">
                  <c:v>1.4510406603375703</c:v>
                </c:pt>
                <c:pt idx="52">
                  <c:v>1.4133313737488835</c:v>
                </c:pt>
                <c:pt idx="53">
                  <c:v>1.3767682746655712</c:v>
                </c:pt>
                <c:pt idx="54">
                  <c:v>1.3409916585795525</c:v>
                </c:pt>
                <c:pt idx="55">
                  <c:v>1.3056687553163036</c:v>
                </c:pt>
                <c:pt idx="56">
                  <c:v>1.2704818737034713</c:v>
                </c:pt>
                <c:pt idx="57">
                  <c:v>1.2351175162138568</c:v>
                </c:pt>
                <c:pt idx="58">
                  <c:v>1.1992557268213555</c:v>
                </c:pt>
                <c:pt idx="59">
                  <c:v>1.1625589495689381</c:v>
                </c:pt>
                <c:pt idx="60">
                  <c:v>1.1246596130873276</c:v>
                </c:pt>
                <c:pt idx="61">
                  <c:v>1.0851455057158725</c:v>
                </c:pt>
                <c:pt idx="62">
                  <c:v>1.0435417417815458</c:v>
                </c:pt>
                <c:pt idx="63">
                  <c:v>0.99928769828249719</c:v>
                </c:pt>
                <c:pt idx="64">
                  <c:v>0.95170665233278462</c:v>
                </c:pt>
                <c:pt idx="65">
                  <c:v>0.89996486455773494</c:v>
                </c:pt>
                <c:pt idx="66">
                  <c:v>0.84301537145430194</c:v>
                </c:pt>
                <c:pt idx="67">
                  <c:v>0.77951955152385821</c:v>
                </c:pt>
                <c:pt idx="68">
                  <c:v>0.70773637630874142</c:v>
                </c:pt>
                <c:pt idx="69">
                  <c:v>0.6253650953888702</c:v>
                </c:pt>
                <c:pt idx="70">
                  <c:v>0.52932284867584189</c:v>
                </c:pt>
                <c:pt idx="71">
                  <c:v>0.41543887505525473</c:v>
                </c:pt>
                <c:pt idx="72">
                  <c:v>0.27806824030979982</c:v>
                </c:pt>
                <c:pt idx="73">
                  <c:v>0.10972535132419337</c:v>
                </c:pt>
                <c:pt idx="74">
                  <c:v>-9.8821792978635026E-2</c:v>
                </c:pt>
                <c:pt idx="75">
                  <c:v>-0.35653728405157603</c:v>
                </c:pt>
                <c:pt idx="76">
                  <c:v>-0.66438346469723253</c:v>
                </c:pt>
                <c:pt idx="77">
                  <c:v>-0.99633343146954279</c:v>
                </c:pt>
                <c:pt idx="78">
                  <c:v>-1.2778880866870899</c:v>
                </c:pt>
                <c:pt idx="79">
                  <c:v>-1.4144339539198989</c:v>
                </c:pt>
                <c:pt idx="80">
                  <c:v>-1.3826981078305716</c:v>
                </c:pt>
                <c:pt idx="81">
                  <c:v>-1.2464844767895182</c:v>
                </c:pt>
                <c:pt idx="82">
                  <c:v>-1.0776438480721793</c:v>
                </c:pt>
                <c:pt idx="83">
                  <c:v>-0.91473755084184616</c:v>
                </c:pt>
                <c:pt idx="84">
                  <c:v>-0.77070027951066533</c:v>
                </c:pt>
                <c:pt idx="85">
                  <c:v>-0.64696498795350521</c:v>
                </c:pt>
                <c:pt idx="86">
                  <c:v>-0.54115417467797988</c:v>
                </c:pt>
                <c:pt idx="87">
                  <c:v>-0.45013758722275987</c:v>
                </c:pt>
                <c:pt idx="88">
                  <c:v>-0.37103697151701376</c:v>
                </c:pt>
                <c:pt idx="89">
                  <c:v>-0.30146553934435982</c:v>
                </c:pt>
                <c:pt idx="90">
                  <c:v>-0.23951473448290073</c:v>
                </c:pt>
              </c:numCache>
            </c:numRef>
          </c:xVal>
          <c:yVal>
            <c:numRef>
              <c:f>'Min. Dis. Classifier (15.12.17)'!$K$435:$K$525</c:f>
              <c:numCache>
                <c:formatCode>General</c:formatCode>
                <c:ptCount val="91"/>
                <c:pt idx="0">
                  <c:v>0.9534591418726186</c:v>
                </c:pt>
                <c:pt idx="1">
                  <c:v>0.88853445761073691</c:v>
                </c:pt>
                <c:pt idx="2">
                  <c:v>0.8301293162445349</c:v>
                </c:pt>
                <c:pt idx="3">
                  <c:v>0.77691776546331415</c:v>
                </c:pt>
                <c:pt idx="4">
                  <c:v>0.72785829159819182</c:v>
                </c:pt>
                <c:pt idx="5">
                  <c:v>0.68211783942457582</c:v>
                </c:pt>
                <c:pt idx="6">
                  <c:v>0.63901712321860071</c:v>
                </c:pt>
                <c:pt idx="7">
                  <c:v>0.5979906232511174</c:v>
                </c:pt>
                <c:pt idx="8">
                  <c:v>0.5585567386455309</c:v>
                </c:pt>
                <c:pt idx="9">
                  <c:v>0.5202949695362904</c:v>
                </c:pt>
                <c:pt idx="10">
                  <c:v>0.48282793453099293</c:v>
                </c:pt>
                <c:pt idx="11">
                  <c:v>0.44580664389869806</c:v>
                </c:pt>
                <c:pt idx="12">
                  <c:v>0.40889784615314506</c:v>
                </c:pt>
                <c:pt idx="13">
                  <c:v>0.37177251124384236</c:v>
                </c:pt>
                <c:pt idx="14">
                  <c:v>0.33409464764109076</c:v>
                </c:pt>
                <c:pt idx="15">
                  <c:v>0.29550969561957996</c:v>
                </c:pt>
                <c:pt idx="16">
                  <c:v>0.2556317042255194</c:v>
                </c:pt>
                <c:pt idx="17">
                  <c:v>0.2140283834260982</c:v>
                </c:pt>
                <c:pt idx="18">
                  <c:v>0.17020291563233159</c:v>
                </c:pt>
                <c:pt idx="19">
                  <c:v>0.12357109563115287</c:v>
                </c:pt>
                <c:pt idx="20">
                  <c:v>7.3431929053026757E-2</c:v>
                </c:pt>
                <c:pt idx="21">
                  <c:v>1.8929262785931433E-2</c:v>
                </c:pt>
                <c:pt idx="22">
                  <c:v>-4.099856479659103E-2</c:v>
                </c:pt>
                <c:pt idx="23">
                  <c:v>-0.10768433837017233</c:v>
                </c:pt>
                <c:pt idx="24">
                  <c:v>-0.18281502908937142</c:v>
                </c:pt>
                <c:pt idx="25">
                  <c:v>-0.2685289715652287</c:v>
                </c:pt>
                <c:pt idx="26">
                  <c:v>-0.36750538826027868</c:v>
                </c:pt>
                <c:pt idx="27">
                  <c:v>-0.48296988438012523</c:v>
                </c:pt>
                <c:pt idx="28">
                  <c:v>-0.61838677120651153</c:v>
                </c:pt>
                <c:pt idx="29">
                  <c:v>-0.77620612129789224</c:v>
                </c:pt>
                <c:pt idx="30">
                  <c:v>-0.95409969373229819</c:v>
                </c:pt>
                <c:pt idx="31">
                  <c:v>-1.1357298790073127</c:v>
                </c:pt>
                <c:pt idx="32">
                  <c:v>-1.2750801983868856</c:v>
                </c:pt>
                <c:pt idx="33">
                  <c:v>-1.2929550348255794</c:v>
                </c:pt>
                <c:pt idx="34">
                  <c:v>-1.1316814361911924</c:v>
                </c:pt>
                <c:pt idx="35">
                  <c:v>-0.83171729412151885</c:v>
                </c:pt>
                <c:pt idx="36">
                  <c:v>-0.49328813833563834</c:v>
                </c:pt>
                <c:pt idx="37">
                  <c:v>-0.18532536735382832</c:v>
                </c:pt>
                <c:pt idx="38">
                  <c:v>7.1071455731233191E-2</c:v>
                </c:pt>
                <c:pt idx="39">
                  <c:v>0.27871836278185547</c:v>
                </c:pt>
                <c:pt idx="40">
                  <c:v>0.44690090729766796</c:v>
                </c:pt>
                <c:pt idx="41">
                  <c:v>0.58471991727915285</c:v>
                </c:pt>
                <c:pt idx="42">
                  <c:v>0.69946894868074683</c:v>
                </c:pt>
                <c:pt idx="43">
                  <c:v>0.79663956141052383</c:v>
                </c:pt>
                <c:pt idx="44">
                  <c:v>0.8802976650754607</c:v>
                </c:pt>
                <c:pt idx="45">
                  <c:v>0.95345914187261871</c:v>
                </c:pt>
                <c:pt idx="46">
                  <c:v>1.0183838261345004</c:v>
                </c:pt>
                <c:pt idx="47">
                  <c:v>1.0767889675007023</c:v>
                </c:pt>
                <c:pt idx="48">
                  <c:v>1.1300005182819233</c:v>
                </c:pt>
                <c:pt idx="49">
                  <c:v>1.1790599921470453</c:v>
                </c:pt>
                <c:pt idx="50">
                  <c:v>1.2248004443206615</c:v>
                </c:pt>
                <c:pt idx="51">
                  <c:v>1.2679011605266366</c:v>
                </c:pt>
                <c:pt idx="52">
                  <c:v>1.30892766049412</c:v>
                </c:pt>
                <c:pt idx="53">
                  <c:v>1.3483615450997064</c:v>
                </c:pt>
                <c:pt idx="54">
                  <c:v>1.386623314208947</c:v>
                </c:pt>
                <c:pt idx="55">
                  <c:v>1.4240903492142443</c:v>
                </c:pt>
                <c:pt idx="56">
                  <c:v>1.4611116398465396</c:v>
                </c:pt>
                <c:pt idx="57">
                  <c:v>1.4980204375920922</c:v>
                </c:pt>
                <c:pt idx="58">
                  <c:v>1.5351457725013951</c:v>
                </c:pt>
                <c:pt idx="59">
                  <c:v>1.5728236361041468</c:v>
                </c:pt>
                <c:pt idx="60">
                  <c:v>1.6114085881256572</c:v>
                </c:pt>
                <c:pt idx="61">
                  <c:v>1.6512865795197182</c:v>
                </c:pt>
                <c:pt idx="62">
                  <c:v>1.6928899003191393</c:v>
                </c:pt>
                <c:pt idx="63">
                  <c:v>1.7367153681129057</c:v>
                </c:pt>
                <c:pt idx="64">
                  <c:v>1.7833471881140843</c:v>
                </c:pt>
                <c:pt idx="65">
                  <c:v>1.8334863546922104</c:v>
                </c:pt>
                <c:pt idx="66">
                  <c:v>1.8879890209593058</c:v>
                </c:pt>
                <c:pt idx="67">
                  <c:v>1.9479168485418281</c:v>
                </c:pt>
                <c:pt idx="68">
                  <c:v>2.0146026221154094</c:v>
                </c:pt>
                <c:pt idx="69">
                  <c:v>2.0897333128346087</c:v>
                </c:pt>
                <c:pt idx="70">
                  <c:v>2.1754472553104658</c:v>
                </c:pt>
                <c:pt idx="71">
                  <c:v>2.2744236720055158</c:v>
                </c:pt>
                <c:pt idx="72">
                  <c:v>2.3898881681253625</c:v>
                </c:pt>
                <c:pt idx="73">
                  <c:v>2.5253050549517497</c:v>
                </c:pt>
                <c:pt idx="74">
                  <c:v>2.68312440504313</c:v>
                </c:pt>
                <c:pt idx="75">
                  <c:v>2.8610179774775344</c:v>
                </c:pt>
                <c:pt idx="76">
                  <c:v>3.0426481627525495</c:v>
                </c:pt>
                <c:pt idx="77">
                  <c:v>3.1819984821321228</c:v>
                </c:pt>
                <c:pt idx="78">
                  <c:v>3.199873318570817</c:v>
                </c:pt>
                <c:pt idx="79">
                  <c:v>3.0385997199364305</c:v>
                </c:pt>
                <c:pt idx="80">
                  <c:v>2.7386355778667579</c:v>
                </c:pt>
                <c:pt idx="81">
                  <c:v>2.4002064220808768</c:v>
                </c:pt>
                <c:pt idx="82">
                  <c:v>2.0922436510990656</c:v>
                </c:pt>
                <c:pt idx="83">
                  <c:v>1.835846828014005</c:v>
                </c:pt>
                <c:pt idx="84">
                  <c:v>1.6281999209633828</c:v>
                </c:pt>
                <c:pt idx="85">
                  <c:v>1.4600173764475701</c:v>
                </c:pt>
                <c:pt idx="86">
                  <c:v>1.3221983664660855</c:v>
                </c:pt>
                <c:pt idx="87">
                  <c:v>1.2074493350644906</c:v>
                </c:pt>
                <c:pt idx="88">
                  <c:v>1.1102787223347139</c:v>
                </c:pt>
                <c:pt idx="89">
                  <c:v>1.0266206186697771</c:v>
                </c:pt>
                <c:pt idx="90">
                  <c:v>0.95345914187261882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6-49CE-890F-E9880D509DBC}"/>
            </c:ext>
          </c:extLst>
        </c:ser>
        <c:ser>
          <c:idx val="8"/>
          <c:order val="8"/>
          <c:tx>
            <c:v>Elipse Normal</c:v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(15.12.17)'!$O$435:$O$525</c:f>
              <c:numCache>
                <c:formatCode>General</c:formatCode>
                <c:ptCount val="91"/>
                <c:pt idx="0">
                  <c:v>-2.4235606399355212</c:v>
                </c:pt>
                <c:pt idx="1">
                  <c:v>-2.3217904743535578</c:v>
                </c:pt>
                <c:pt idx="2">
                  <c:v>-2.223300956171077</c:v>
                </c:pt>
                <c:pt idx="3">
                  <c:v>-2.1296877835171704</c:v>
                </c:pt>
                <c:pt idx="4">
                  <c:v>-2.0415005239853001</c:v>
                </c:pt>
                <c:pt idx="5">
                  <c:v>-1.9586926867976886</c:v>
                </c:pt>
                <c:pt idx="6">
                  <c:v>-1.8809051600282132</c:v>
                </c:pt>
                <c:pt idx="7">
                  <c:v>-1.8076337884222224</c:v>
                </c:pt>
                <c:pt idx="8">
                  <c:v>-1.7383233668994809</c:v>
                </c:pt>
                <c:pt idx="9">
                  <c:v>-1.6724172763171321</c:v>
                </c:pt>
                <c:pt idx="10">
                  <c:v>-1.6093812867621615</c:v>
                </c:pt>
                <c:pt idx="11">
                  <c:v>-1.5487127195802493</c:v>
                </c:pt>
                <c:pt idx="12">
                  <c:v>-1.4899415233811011</c:v>
                </c:pt>
                <c:pt idx="13">
                  <c:v>-1.4326270089949651</c:v>
                </c:pt>
                <c:pt idx="14">
                  <c:v>-1.3763523230841375</c:v>
                </c:pt>
                <c:pt idx="15">
                  <c:v>-1.3207177649661739</c:v>
                </c:pt>
                <c:pt idx="16">
                  <c:v>-1.2653334826426739</c:v>
                </c:pt>
                <c:pt idx="17">
                  <c:v>-1.2098117515632132</c:v>
                </c:pt>
                <c:pt idx="18">
                  <c:v>-1.1537588430433716</c:v>
                </c:pt>
                <c:pt idx="19">
                  <c:v>-1.0967663709919215</c:v>
                </c:pt>
                <c:pt idx="20">
                  <c:v>-1.0384019346750595</c:v>
                </c:pt>
                <c:pt idx="21">
                  <c:v>-0.97819883865520951</c:v>
                </c:pt>
                <c:pt idx="22">
                  <c:v>-0.91564467102720104</c:v>
                </c:pt>
                <c:pt idx="23">
                  <c:v>-0.85016857756256126</c:v>
                </c:pt>
                <c:pt idx="24">
                  <c:v>-0.78112722881186225</c:v>
                </c:pt>
                <c:pt idx="25">
                  <c:v>-0.70778983104333237</c:v>
                </c:pt>
                <c:pt idx="26">
                  <c:v>-0.62932325078044737</c:v>
                </c:pt>
                <c:pt idx="27">
                  <c:v>-0.54477971633987998</c:v>
                </c:pt>
                <c:pt idx="28">
                  <c:v>-0.45309217449005823</c:v>
                </c:pt>
                <c:pt idx="29">
                  <c:v>-0.35308713917300982</c:v>
                </c:pt>
                <c:pt idx="30">
                  <c:v>-0.24353321184436216</c:v>
                </c:pt>
                <c:pt idx="31">
                  <c:v>-0.12325726063420595</c:v>
                </c:pt>
                <c:pt idx="32">
                  <c:v>8.6191684248085876E-3</c:v>
                </c:pt>
                <c:pt idx="33">
                  <c:v>0.15224638026829906</c:v>
                </c:pt>
                <c:pt idx="34">
                  <c:v>0.30632927125597853</c:v>
                </c:pt>
                <c:pt idx="35">
                  <c:v>0.46709713063795466</c:v>
                </c:pt>
                <c:pt idx="36">
                  <c:v>0.62715941389967977</c:v>
                </c:pt>
                <c:pt idx="37">
                  <c:v>0.77492841231803322</c:v>
                </c:pt>
                <c:pt idx="38">
                  <c:v>0.89579593955983905</c:v>
                </c:pt>
                <c:pt idx="39">
                  <c:v>0.97589578254246045</c:v>
                </c:pt>
                <c:pt idx="40">
                  <c:v>1.0072606345073698</c:v>
                </c:pt>
                <c:pt idx="41">
                  <c:v>0.99099024504681565</c:v>
                </c:pt>
                <c:pt idx="42">
                  <c:v>0.93600093180731869</c:v>
                </c:pt>
                <c:pt idx="43">
                  <c:v>0.85467585646229793</c:v>
                </c:pt>
                <c:pt idx="44">
                  <c:v>0.75869981783295615</c:v>
                </c:pt>
                <c:pt idx="45">
                  <c:v>0.65694023610955743</c:v>
                </c:pt>
                <c:pt idx="46">
                  <c:v>0.55517007052759382</c:v>
                </c:pt>
                <c:pt idx="47">
                  <c:v>0.45668055234511373</c:v>
                </c:pt>
                <c:pt idx="48">
                  <c:v>0.36306737969120617</c:v>
                </c:pt>
                <c:pt idx="49">
                  <c:v>0.27488012015933683</c:v>
                </c:pt>
                <c:pt idx="50">
                  <c:v>0.19207228297172485</c:v>
                </c:pt>
                <c:pt idx="51">
                  <c:v>0.11428475620224954</c:v>
                </c:pt>
                <c:pt idx="52">
                  <c:v>4.1013384596258806E-2</c:v>
                </c:pt>
                <c:pt idx="53">
                  <c:v>-2.829703692648311E-2</c:v>
                </c:pt>
                <c:pt idx="54">
                  <c:v>-9.4203127508831863E-2</c:v>
                </c:pt>
                <c:pt idx="55">
                  <c:v>-0.15723911706380234</c:v>
                </c:pt>
                <c:pt idx="56">
                  <c:v>-0.21790768424571494</c:v>
                </c:pt>
                <c:pt idx="57">
                  <c:v>-0.276678880444863</c:v>
                </c:pt>
                <c:pt idx="58">
                  <c:v>-0.33399339483099899</c:v>
                </c:pt>
                <c:pt idx="59">
                  <c:v>-0.39026808074182623</c:v>
                </c:pt>
                <c:pt idx="60">
                  <c:v>-0.44590263885978992</c:v>
                </c:pt>
                <c:pt idx="61">
                  <c:v>-0.50128692118329032</c:v>
                </c:pt>
                <c:pt idx="62">
                  <c:v>-0.55680865226275089</c:v>
                </c:pt>
                <c:pt idx="63">
                  <c:v>-0.61286156078259235</c:v>
                </c:pt>
                <c:pt idx="64">
                  <c:v>-0.66985403283404232</c:v>
                </c:pt>
                <c:pt idx="65">
                  <c:v>-0.72821846915090449</c:v>
                </c:pt>
                <c:pt idx="66">
                  <c:v>-0.78842156517075446</c:v>
                </c:pt>
                <c:pt idx="67">
                  <c:v>-0.85097573279876271</c:v>
                </c:pt>
                <c:pt idx="68">
                  <c:v>-0.91645182626340249</c:v>
                </c:pt>
                <c:pt idx="69">
                  <c:v>-0.98549317501410183</c:v>
                </c:pt>
                <c:pt idx="70">
                  <c:v>-1.0588305727826315</c:v>
                </c:pt>
                <c:pt idx="71">
                  <c:v>-1.1372971530455165</c:v>
                </c:pt>
                <c:pt idx="72">
                  <c:v>-1.2218406874860839</c:v>
                </c:pt>
                <c:pt idx="73">
                  <c:v>-1.3135282293359061</c:v>
                </c:pt>
                <c:pt idx="74">
                  <c:v>-1.4135332646529544</c:v>
                </c:pt>
                <c:pt idx="75">
                  <c:v>-1.5230871919816016</c:v>
                </c:pt>
                <c:pt idx="76">
                  <c:v>-1.6433631431917579</c:v>
                </c:pt>
                <c:pt idx="77">
                  <c:v>-1.7752395722507726</c:v>
                </c:pt>
                <c:pt idx="78">
                  <c:v>-1.9188667840942633</c:v>
                </c:pt>
                <c:pt idx="79">
                  <c:v>-2.0729496750819427</c:v>
                </c:pt>
                <c:pt idx="80">
                  <c:v>-2.233717534463918</c:v>
                </c:pt>
                <c:pt idx="81">
                  <c:v>-2.3937798177256431</c:v>
                </c:pt>
                <c:pt idx="82">
                  <c:v>-2.5415488161439974</c:v>
                </c:pt>
                <c:pt idx="83">
                  <c:v>-2.6624163433858024</c:v>
                </c:pt>
                <c:pt idx="84">
                  <c:v>-2.7425161863684249</c:v>
                </c:pt>
                <c:pt idx="85">
                  <c:v>-2.7738810383333341</c:v>
                </c:pt>
                <c:pt idx="86">
                  <c:v>-2.7576106488727801</c:v>
                </c:pt>
                <c:pt idx="87">
                  <c:v>-2.7026213356332827</c:v>
                </c:pt>
                <c:pt idx="88">
                  <c:v>-2.6212962602882621</c:v>
                </c:pt>
                <c:pt idx="89">
                  <c:v>-2.5253202216589203</c:v>
                </c:pt>
                <c:pt idx="90">
                  <c:v>-2.4235606399355216</c:v>
                </c:pt>
              </c:numCache>
            </c:numRef>
          </c:xVal>
          <c:yVal>
            <c:numRef>
              <c:f>'Min. Dis. Classifier (15.12.17)'!$P$435:$P$525</c:f>
              <c:numCache>
                <c:formatCode>General</c:formatCode>
                <c:ptCount val="91"/>
                <c:pt idx="0">
                  <c:v>-0.33863511402745983</c:v>
                </c:pt>
                <c:pt idx="1">
                  <c:v>-0.43922345352286174</c:v>
                </c:pt>
                <c:pt idx="2">
                  <c:v>-0.5269585331243799</c:v>
                </c:pt>
                <c:pt idx="3">
                  <c:v>-0.60356084731584325</c:v>
                </c:pt>
                <c:pt idx="4">
                  <c:v>-0.67074084471220519</c:v>
                </c:pt>
                <c:pt idx="5">
                  <c:v>-0.73004232897671728</c:v>
                </c:pt>
                <c:pt idx="6">
                  <c:v>-0.78279300569952859</c:v>
                </c:pt>
                <c:pt idx="7">
                  <c:v>-0.83010668288158795</c:v>
                </c:pt>
                <c:pt idx="8">
                  <c:v>-0.8729066363065161</c:v>
                </c:pt>
                <c:pt idx="9">
                  <c:v>-0.91195496273196541</c:v>
                </c:pt>
                <c:pt idx="10">
                  <c:v>-0.94788109353289407</c:v>
                </c:pt>
                <c:pt idx="11">
                  <c:v>-0.98120685606710523</c:v>
                </c:pt>
                <c:pt idx="12">
                  <c:v>-1.012367451537324</c:v>
                </c:pt>
                <c:pt idx="13">
                  <c:v>-1.0417285646750638</c:v>
                </c:pt>
                <c:pt idx="14">
                  <c:v>-1.0696001187085442</c:v>
                </c:pt>
                <c:pt idx="15">
                  <c:v>-1.0962472368504754</c:v>
                </c:pt>
                <c:pt idx="16">
                  <c:v>-1.1218989140802724</c:v>
                </c:pt>
                <c:pt idx="17">
                  <c:v>-1.146754807186795</c:v>
                </c:pt>
                <c:pt idx="18">
                  <c:v>-1.1709904444858781</c:v>
                </c:pt>
                <c:pt idx="19">
                  <c:v>-1.1947610471148737</c:v>
                </c:pt>
                <c:pt idx="20">
                  <c:v>-1.2182040384140382</c:v>
                </c:pt>
                <c:pt idx="21">
                  <c:v>-1.2414401865573492</c:v>
                </c:pt>
                <c:pt idx="22">
                  <c:v>-1.2645731613508531</c:v>
                </c:pt>
                <c:pt idx="23">
                  <c:v>-1.287687063133351</c:v>
                </c:pt>
                <c:pt idx="24">
                  <c:v>-1.310841161127537</c:v>
                </c:pt>
                <c:pt idx="25">
                  <c:v>-1.3340606023130612</c:v>
                </c:pt>
                <c:pt idx="26">
                  <c:v>-1.3573211349967291</c:v>
                </c:pt>
                <c:pt idx="27">
                  <c:v>-1.3805248163077404</c:v>
                </c:pt>
                <c:pt idx="28">
                  <c:v>-1.4034620978046302</c:v>
                </c:pt>
                <c:pt idx="29">
                  <c:v>-1.425753496457165</c:v>
                </c:pt>
                <c:pt idx="30">
                  <c:v>-1.446761366339798</c:v>
                </c:pt>
                <c:pt idx="31">
                  <c:v>-1.465459938770679</c:v>
                </c:pt>
                <c:pt idx="32">
                  <c:v>-1.4802526480985565</c:v>
                </c:pt>
                <c:pt idx="33">
                  <c:v>-1.4887372140117359</c:v>
                </c:pt>
                <c:pt idx="34">
                  <c:v>-1.4874565993341262</c:v>
                </c:pt>
                <c:pt idx="35">
                  <c:v>-1.471761408710045</c:v>
                </c:pt>
                <c:pt idx="36">
                  <c:v>-1.4360555271752773</c:v>
                </c:pt>
                <c:pt idx="37">
                  <c:v>-1.3748176022130156</c:v>
                </c:pt>
                <c:pt idx="38">
                  <c:v>-1.2846026293754198</c:v>
                </c:pt>
                <c:pt idx="39">
                  <c:v>-1.1664069502043191</c:v>
                </c:pt>
                <c:pt idx="40">
                  <c:v>-1.0267466242562251</c:v>
                </c:pt>
                <c:pt idx="41">
                  <c:v>-0.876082118718853</c:v>
                </c:pt>
                <c:pt idx="42">
                  <c:v>-0.72534163321903655</c:v>
                </c:pt>
                <c:pt idx="43">
                  <c:v>-0.58289312537264071</c:v>
                </c:pt>
                <c:pt idx="44">
                  <c:v>-0.45345563988759374</c:v>
                </c:pt>
                <c:pt idx="45">
                  <c:v>-0.33863511402745966</c:v>
                </c:pt>
                <c:pt idx="46">
                  <c:v>-0.23804677453205786</c:v>
                </c:pt>
                <c:pt idx="47">
                  <c:v>-0.15031169493053981</c:v>
                </c:pt>
                <c:pt idx="48">
                  <c:v>-7.3709380739076069E-2</c:v>
                </c:pt>
                <c:pt idx="49">
                  <c:v>-6.5293833427146342E-3</c:v>
                </c:pt>
                <c:pt idx="50">
                  <c:v>5.2772100921797849E-2</c:v>
                </c:pt>
                <c:pt idx="51">
                  <c:v>0.10552277764460904</c:v>
                </c:pt>
                <c:pt idx="52">
                  <c:v>0.15283645482666847</c:v>
                </c:pt>
                <c:pt idx="53">
                  <c:v>0.19563640825159684</c:v>
                </c:pt>
                <c:pt idx="54">
                  <c:v>0.23468473467704604</c:v>
                </c:pt>
                <c:pt idx="55">
                  <c:v>0.27061086547797458</c:v>
                </c:pt>
                <c:pt idx="56">
                  <c:v>0.30393662801218585</c:v>
                </c:pt>
                <c:pt idx="57">
                  <c:v>0.3350972234824045</c:v>
                </c:pt>
                <c:pt idx="58">
                  <c:v>0.36445833662014443</c:v>
                </c:pt>
                <c:pt idx="59">
                  <c:v>0.39232989065362506</c:v>
                </c:pt>
                <c:pt idx="60">
                  <c:v>0.41897700879555616</c:v>
                </c:pt>
                <c:pt idx="61">
                  <c:v>0.44462868602535305</c:v>
                </c:pt>
                <c:pt idx="62">
                  <c:v>0.46948457913187575</c:v>
                </c:pt>
                <c:pt idx="63">
                  <c:v>0.49372021643095859</c:v>
                </c:pt>
                <c:pt idx="64">
                  <c:v>0.51749081905995431</c:v>
                </c:pt>
                <c:pt idx="65">
                  <c:v>0.54093381035911881</c:v>
                </c:pt>
                <c:pt idx="66">
                  <c:v>0.56416995850242957</c:v>
                </c:pt>
                <c:pt idx="67">
                  <c:v>0.58730293329593364</c:v>
                </c:pt>
                <c:pt idx="68">
                  <c:v>0.61041683507843159</c:v>
                </c:pt>
                <c:pt idx="69">
                  <c:v>0.6335709330726178</c:v>
                </c:pt>
                <c:pt idx="70">
                  <c:v>0.6567903742581418</c:v>
                </c:pt>
                <c:pt idx="71">
                  <c:v>0.6800509069418097</c:v>
                </c:pt>
                <c:pt idx="72">
                  <c:v>0.70325458825282094</c:v>
                </c:pt>
                <c:pt idx="73">
                  <c:v>0.72619186974971095</c:v>
                </c:pt>
                <c:pt idx="74">
                  <c:v>0.74848326840224555</c:v>
                </c:pt>
                <c:pt idx="75">
                  <c:v>0.76949113828487881</c:v>
                </c:pt>
                <c:pt idx="76">
                  <c:v>0.78818971071575938</c:v>
                </c:pt>
                <c:pt idx="77">
                  <c:v>0.80298242004363707</c:v>
                </c:pt>
                <c:pt idx="78">
                  <c:v>0.81146698595681666</c:v>
                </c:pt>
                <c:pt idx="79">
                  <c:v>0.81018637127920656</c:v>
                </c:pt>
                <c:pt idx="80">
                  <c:v>0.79449118065512558</c:v>
                </c:pt>
                <c:pt idx="81">
                  <c:v>0.75878529912035764</c:v>
                </c:pt>
                <c:pt idx="82">
                  <c:v>0.6975473741580962</c:v>
                </c:pt>
                <c:pt idx="83">
                  <c:v>0.60733240132050081</c:v>
                </c:pt>
                <c:pt idx="84">
                  <c:v>0.48913672214940046</c:v>
                </c:pt>
                <c:pt idx="85">
                  <c:v>0.34947639620130638</c:v>
                </c:pt>
                <c:pt idx="86">
                  <c:v>0.19881189066393484</c:v>
                </c:pt>
                <c:pt idx="87">
                  <c:v>4.8071405164117287E-2</c:v>
                </c:pt>
                <c:pt idx="88">
                  <c:v>-9.437710268227803E-2</c:v>
                </c:pt>
                <c:pt idx="89">
                  <c:v>-0.22381458816732525</c:v>
                </c:pt>
                <c:pt idx="90">
                  <c:v>-0.33863511402745949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06-49CE-890F-E9880D509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254248"/>
        <c:axId val="1"/>
      </c:scatterChart>
      <c:valAx>
        <c:axId val="639254248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254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'Min. Dis. Classifier (15.12.17)'!$E$97</c:f>
              <c:strCache>
                <c:ptCount val="1"/>
                <c:pt idx="0">
                  <c:v>risk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'Min. Dis. Classifier (15.12.17)'!$C$97:$C$115</c:f>
              <c:numCache>
                <c:formatCode>General</c:formatCode>
                <c:ptCount val="19"/>
                <c:pt idx="0">
                  <c:v>-0.24155393643235079</c:v>
                </c:pt>
                <c:pt idx="1">
                  <c:v>0.3153075122670288</c:v>
                </c:pt>
                <c:pt idx="2">
                  <c:v>-0.27603304102310749</c:v>
                </c:pt>
                <c:pt idx="3">
                  <c:v>4.6324019577862578E-2</c:v>
                </c:pt>
                <c:pt idx="4">
                  <c:v>-0.63159363605109409</c:v>
                </c:pt>
                <c:pt idx="5">
                  <c:v>-0.21194303934855926</c:v>
                </c:pt>
                <c:pt idx="6">
                  <c:v>-0.91439923620457342</c:v>
                </c:pt>
                <c:pt idx="7">
                  <c:v>-0.90734432763535766</c:v>
                </c:pt>
                <c:pt idx="8">
                  <c:v>1.0140514738446511</c:v>
                </c:pt>
                <c:pt idx="9">
                  <c:v>0.40435073002007077</c:v>
                </c:pt>
                <c:pt idx="10">
                  <c:v>0.61636973718779409</c:v>
                </c:pt>
                <c:pt idx="11">
                  <c:v>0.35714718350920283</c:v>
                </c:pt>
                <c:pt idx="12">
                  <c:v>0.32815063578281106</c:v>
                </c:pt>
                <c:pt idx="13">
                  <c:v>0.44477923285352855</c:v>
                </c:pt>
                <c:pt idx="14">
                  <c:v>0.37764614402421509</c:v>
                </c:pt>
                <c:pt idx="15">
                  <c:v>0.42632552981068755</c:v>
                </c:pt>
                <c:pt idx="16">
                  <c:v>0.40813941253804958</c:v>
                </c:pt>
                <c:pt idx="17">
                  <c:v>0.60732947821750161</c:v>
                </c:pt>
                <c:pt idx="18">
                  <c:v>0.46878582298888483</c:v>
                </c:pt>
              </c:numCache>
            </c:numRef>
          </c:xVal>
          <c:yVal>
            <c:numRef>
              <c:f>'Min. Dis. Classifier (15.12.17)'!$D$97:$D$115</c:f>
              <c:numCache>
                <c:formatCode>General</c:formatCode>
                <c:ptCount val="19"/>
                <c:pt idx="0">
                  <c:v>0.57802319324453533</c:v>
                </c:pt>
                <c:pt idx="1">
                  <c:v>-0.28605050771036916</c:v>
                </c:pt>
                <c:pt idx="2">
                  <c:v>-0.99920637967340875</c:v>
                </c:pt>
                <c:pt idx="3">
                  <c:v>-1.2942180579330083</c:v>
                </c:pt>
                <c:pt idx="4">
                  <c:v>0.62012022560171776</c:v>
                </c:pt>
                <c:pt idx="5">
                  <c:v>7.9808842631682683E-2</c:v>
                </c:pt>
                <c:pt idx="6">
                  <c:v>0.30244501788394873</c:v>
                </c:pt>
                <c:pt idx="7">
                  <c:v>0.90529443810377241</c:v>
                </c:pt>
                <c:pt idx="8">
                  <c:v>-1.3603785864941356</c:v>
                </c:pt>
                <c:pt idx="9">
                  <c:v>-0.89577870406952387</c:v>
                </c:pt>
                <c:pt idx="10">
                  <c:v>-1.2190783140272792</c:v>
                </c:pt>
                <c:pt idx="11">
                  <c:v>-0.9317529874531254</c:v>
                </c:pt>
                <c:pt idx="12">
                  <c:v>-1.3512877176360876</c:v>
                </c:pt>
                <c:pt idx="13">
                  <c:v>-0.59593863309205464</c:v>
                </c:pt>
                <c:pt idx="14">
                  <c:v>-0.96332800382463968</c:v>
                </c:pt>
                <c:pt idx="15">
                  <c:v>-0.81599084820364842</c:v>
                </c:pt>
                <c:pt idx="16">
                  <c:v>-1.1486301621433548</c:v>
                </c:pt>
                <c:pt idx="17">
                  <c:v>-1.2251427962507946</c:v>
                </c:pt>
                <c:pt idx="18">
                  <c:v>-1.0805665480122584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9-400D-9DD5-F5AE23428A42}"/>
            </c:ext>
          </c:extLst>
        </c:ser>
        <c:ser>
          <c:idx val="1"/>
          <c:order val="1"/>
          <c:tx>
            <c:strRef>
              <c:f>'Min. Dis. Classifier (15.12.17)'!$E$116</c:f>
              <c:strCache>
                <c:ptCount val="1"/>
                <c:pt idx="0">
                  <c:v>ill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'Min. Dis. Classifier (15.12.17)'!$C$116:$C$134</c:f>
              <c:numCache>
                <c:formatCode>General</c:formatCode>
                <c:ptCount val="19"/>
                <c:pt idx="0">
                  <c:v>0.72281909737066485</c:v>
                </c:pt>
                <c:pt idx="1">
                  <c:v>0.81974487749685632</c:v>
                </c:pt>
                <c:pt idx="2">
                  <c:v>1.2793151141721284</c:v>
                </c:pt>
                <c:pt idx="3">
                  <c:v>1.9950288339949405</c:v>
                </c:pt>
                <c:pt idx="4">
                  <c:v>-0.31649811236519682</c:v>
                </c:pt>
                <c:pt idx="5">
                  <c:v>-1.0951576224953685</c:v>
                </c:pt>
                <c:pt idx="6">
                  <c:v>-0.79632082202763121</c:v>
                </c:pt>
                <c:pt idx="7">
                  <c:v>0.32657131396819133</c:v>
                </c:pt>
                <c:pt idx="8">
                  <c:v>-0.82928595808315242</c:v>
                </c:pt>
                <c:pt idx="9">
                  <c:v>0.33442261201969165</c:v>
                </c:pt>
                <c:pt idx="10">
                  <c:v>0.7405934920529097</c:v>
                </c:pt>
                <c:pt idx="11">
                  <c:v>1.2608497570877817</c:v>
                </c:pt>
                <c:pt idx="12">
                  <c:v>1.4879258287381751</c:v>
                </c:pt>
                <c:pt idx="13">
                  <c:v>1.3748332568579478</c:v>
                </c:pt>
                <c:pt idx="14">
                  <c:v>1.5167648390660018</c:v>
                </c:pt>
                <c:pt idx="15">
                  <c:v>1.3884869682742502</c:v>
                </c:pt>
                <c:pt idx="16">
                  <c:v>1.1558738646414328</c:v>
                </c:pt>
                <c:pt idx="17">
                  <c:v>1.1982492576858779</c:v>
                </c:pt>
                <c:pt idx="18">
                  <c:v>1.5868375419639376</c:v>
                </c:pt>
              </c:numCache>
            </c:numRef>
          </c:xVal>
          <c:yVal>
            <c:numRef>
              <c:f>'Min. Dis. Classifier (15.12.17)'!$D$116:$D$134</c:f>
              <c:numCache>
                <c:formatCode>General</c:formatCode>
                <c:ptCount val="19"/>
                <c:pt idx="0">
                  <c:v>1.4632600364074799</c:v>
                </c:pt>
                <c:pt idx="1">
                  <c:v>0.70070050563428055</c:v>
                </c:pt>
                <c:pt idx="2">
                  <c:v>0.28917696948610522</c:v>
                </c:pt>
                <c:pt idx="3">
                  <c:v>7.9808842631682683E-2</c:v>
                </c:pt>
                <c:pt idx="4">
                  <c:v>2.0216962019402942</c:v>
                </c:pt>
                <c:pt idx="5">
                  <c:v>2.5533926942576741</c:v>
                </c:pt>
                <c:pt idx="6">
                  <c:v>2.9672842455709527</c:v>
                </c:pt>
                <c:pt idx="7">
                  <c:v>1.973314669899116</c:v>
                </c:pt>
                <c:pt idx="8">
                  <c:v>2.2451751048736845</c:v>
                </c:pt>
                <c:pt idx="9">
                  <c:v>0.49514740244093031</c:v>
                </c:pt>
                <c:pt idx="10">
                  <c:v>0.12592682390242932</c:v>
                </c:pt>
                <c:pt idx="11">
                  <c:v>-0.12883829980802888</c:v>
                </c:pt>
                <c:pt idx="12">
                  <c:v>0.11542268329878397</c:v>
                </c:pt>
                <c:pt idx="13">
                  <c:v>0.61809529982494227</c:v>
                </c:pt>
                <c:pt idx="14">
                  <c:v>0.30944880712945416</c:v>
                </c:pt>
                <c:pt idx="15">
                  <c:v>0.32350640944170317</c:v>
                </c:pt>
                <c:pt idx="16">
                  <c:v>0.50651019968372879</c:v>
                </c:pt>
                <c:pt idx="17">
                  <c:v>1.0436272057475449</c:v>
                </c:pt>
                <c:pt idx="18">
                  <c:v>0.41306789321700499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9-400D-9DD5-F5AE23428A42}"/>
            </c:ext>
          </c:extLst>
        </c:ser>
        <c:ser>
          <c:idx val="2"/>
          <c:order val="2"/>
          <c:tx>
            <c:strRef>
              <c:f>'Min. Dis. Classifier (15.12.17)'!$E$135</c:f>
              <c:strCache>
                <c:ptCount val="1"/>
                <c:pt idx="0">
                  <c:v>normal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'Min. Dis. Classifier (15.12.17)'!$C$135:$C$153</c:f>
              <c:numCache>
                <c:formatCode>General</c:formatCode>
                <c:ptCount val="19"/>
                <c:pt idx="0">
                  <c:v>-1.2035810999089676</c:v>
                </c:pt>
                <c:pt idx="1">
                  <c:v>-0.89178278080383289</c:v>
                </c:pt>
                <c:pt idx="2">
                  <c:v>-0.26540424388171141</c:v>
                </c:pt>
                <c:pt idx="3">
                  <c:v>0.23207684122134703</c:v>
                </c:pt>
                <c:pt idx="4">
                  <c:v>-1.3887195627125</c:v>
                </c:pt>
                <c:pt idx="5">
                  <c:v>-2.1828236137887189</c:v>
                </c:pt>
                <c:pt idx="6">
                  <c:v>-2.5895687676100083</c:v>
                </c:pt>
                <c:pt idx="7">
                  <c:v>-1.919535722647693</c:v>
                </c:pt>
                <c:pt idx="8">
                  <c:v>-1.8058752682874046</c:v>
                </c:pt>
                <c:pt idx="9">
                  <c:v>-0.7179970355746027</c:v>
                </c:pt>
                <c:pt idx="10">
                  <c:v>-0.2477628988428705</c:v>
                </c:pt>
                <c:pt idx="11">
                  <c:v>-0.59833277235012861</c:v>
                </c:pt>
                <c:pt idx="12">
                  <c:v>-0.1466634948722603</c:v>
                </c:pt>
                <c:pt idx="13">
                  <c:v>-0.81345794053245057</c:v>
                </c:pt>
                <c:pt idx="14">
                  <c:v>-0.68039678946220605</c:v>
                </c:pt>
                <c:pt idx="15">
                  <c:v>-0.77591919728763703</c:v>
                </c:pt>
                <c:pt idx="16">
                  <c:v>-0.83880174576431288</c:v>
                </c:pt>
                <c:pt idx="17">
                  <c:v>-0.15219340556964991</c:v>
                </c:pt>
                <c:pt idx="18">
                  <c:v>0.20384566232894802</c:v>
                </c:pt>
              </c:numCache>
            </c:numRef>
          </c:xVal>
          <c:yVal>
            <c:numRef>
              <c:f>'Min. Dis. Classifier (15.12.17)'!$D$135:$D$153</c:f>
              <c:numCache>
                <c:formatCode>General</c:formatCode>
                <c:ptCount val="19"/>
                <c:pt idx="0">
                  <c:v>-0.36329341736720594</c:v>
                </c:pt>
                <c:pt idx="1">
                  <c:v>-0.46566324107790114</c:v>
                </c:pt>
                <c:pt idx="2">
                  <c:v>-0.41463900662576275</c:v>
                </c:pt>
                <c:pt idx="3">
                  <c:v>-0.3460249766009395</c:v>
                </c:pt>
                <c:pt idx="4">
                  <c:v>-0.73019775180373681</c:v>
                </c:pt>
                <c:pt idx="5">
                  <c:v>0.12924086324335493</c:v>
                </c:pt>
                <c:pt idx="6">
                  <c:v>0.21922665537197625</c:v>
                </c:pt>
                <c:pt idx="7">
                  <c:v>4.4848587377307901E-3</c:v>
                </c:pt>
                <c:pt idx="8">
                  <c:v>0.44397132417124635</c:v>
                </c:pt>
                <c:pt idx="9">
                  <c:v>4.4362183938506869E-2</c:v>
                </c:pt>
                <c:pt idx="10">
                  <c:v>-0.46844119064302958</c:v>
                </c:pt>
                <c:pt idx="11">
                  <c:v>6.0168381520767061E-2</c:v>
                </c:pt>
                <c:pt idx="12">
                  <c:v>-1.0136056523687589</c:v>
                </c:pt>
                <c:pt idx="13">
                  <c:v>-0.82009421507761504</c:v>
                </c:pt>
                <c:pt idx="14">
                  <c:v>-0.89859106033377723</c:v>
                </c:pt>
                <c:pt idx="15">
                  <c:v>0.24765937304321045</c:v>
                </c:pt>
                <c:pt idx="16">
                  <c:v>-0.48460289117574701</c:v>
                </c:pt>
                <c:pt idx="17">
                  <c:v>-0.20992822021262628</c:v>
                </c:pt>
                <c:pt idx="18">
                  <c:v>-1.368099183261426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9-400D-9DD5-F5AE23428A42}"/>
            </c:ext>
          </c:extLst>
        </c:ser>
        <c:ser>
          <c:idx val="3"/>
          <c:order val="3"/>
          <c:tx>
            <c:v>Centroid Risk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(15.12.17)'!$C$166</c:f>
              <c:numCache>
                <c:formatCode>General</c:formatCode>
                <c:ptCount val="1"/>
                <c:pt idx="0">
                  <c:v>0.13851787873301294</c:v>
                </c:pt>
              </c:numCache>
            </c:numRef>
          </c:xVal>
          <c:yVal>
            <c:numRef>
              <c:f>'Min. Dis. Classifier (15.12.17)'!$D$166</c:f>
              <c:numCache>
                <c:formatCode>General</c:formatCode>
                <c:ptCount val="1"/>
                <c:pt idx="0">
                  <c:v>-0.61482402784515966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9-400D-9DD5-F5AE23428A42}"/>
            </c:ext>
          </c:extLst>
        </c:ser>
        <c:ser>
          <c:idx val="4"/>
          <c:order val="4"/>
          <c:tx>
            <c:v>Centroid Ill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(15.12.17)'!$C$167</c:f>
              <c:numCache>
                <c:formatCode>General</c:formatCode>
                <c:ptCount val="1"/>
                <c:pt idx="0">
                  <c:v>0.74479232317997057</c:v>
                </c:pt>
              </c:numCache>
            </c:numRef>
          </c:xVal>
          <c:yVal>
            <c:numRef>
              <c:f>'Min. Dis. Classifier (15.12.17)'!$D$167</c:f>
              <c:numCache>
                <c:formatCode>General</c:formatCode>
                <c:ptCount val="1"/>
                <c:pt idx="0">
                  <c:v>0.95345914187261871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9-400D-9DD5-F5AE23428A42}"/>
            </c:ext>
          </c:extLst>
        </c:ser>
        <c:ser>
          <c:idx val="5"/>
          <c:order val="5"/>
          <c:tx>
            <c:v>Centroid Normal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'Min. Dis. Classifier (15.12.17)'!$C$168</c:f>
              <c:numCache>
                <c:formatCode>General</c:formatCode>
                <c:ptCount val="1"/>
                <c:pt idx="0">
                  <c:v>-0.88331020191298204</c:v>
                </c:pt>
              </c:numCache>
            </c:numRef>
          </c:xVal>
          <c:yVal>
            <c:numRef>
              <c:f>'Min. Dis. Classifier (15.12.17)'!$D$168</c:f>
              <c:numCache>
                <c:formatCode>General</c:formatCode>
                <c:ptCount val="1"/>
                <c:pt idx="0">
                  <c:v>-0.33863511402745966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9-400D-9DD5-F5AE23428A42}"/>
            </c:ext>
          </c:extLst>
        </c:ser>
        <c:ser>
          <c:idx val="6"/>
          <c:order val="6"/>
          <c:tx>
            <c:v>Elipse Risk</c:v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(15.12.17)'!$E$435:$E$525</c:f>
              <c:numCache>
                <c:formatCode>General</c:formatCode>
                <c:ptCount val="91"/>
                <c:pt idx="0">
                  <c:v>-0.57375622967502304</c:v>
                </c:pt>
                <c:pt idx="1">
                  <c:v>-0.54537787011750904</c:v>
                </c:pt>
                <c:pt idx="2">
                  <c:v>-0.51849672095439292</c:v>
                </c:pt>
                <c:pt idx="3">
                  <c:v>-0.49281051710845314</c:v>
                </c:pt>
                <c:pt idx="4">
                  <c:v>-0.46805340477364088</c:v>
                </c:pt>
                <c:pt idx="5">
                  <c:v>-0.4439873468126101</c:v>
                </c:pt>
                <c:pt idx="6">
                  <c:v>-0.42039453594418419</c:v>
                </c:pt>
                <c:pt idx="7">
                  <c:v>-0.39707061796697107</c:v>
                </c:pt>
                <c:pt idx="8">
                  <c:v>-0.37381846238874106</c:v>
                </c:pt>
                <c:pt idx="9">
                  <c:v>-0.35044219216603856</c:v>
                </c:pt>
                <c:pt idx="10">
                  <c:v>-0.32674116496405015</c:v>
                </c:pt>
                <c:pt idx="11">
                  <c:v>-0.30250356790689237</c:v>
                </c:pt>
                <c:pt idx="12">
                  <c:v>-0.27749923443766378</c:v>
                </c:pt>
                <c:pt idx="13">
                  <c:v>-0.25147120453746119</c:v>
                </c:pt>
                <c:pt idx="14">
                  <c:v>-0.22412541449830534</c:v>
                </c:pt>
                <c:pt idx="15">
                  <c:v>-0.1951177009408924</c:v>
                </c:pt>
                <c:pt idx="16">
                  <c:v>-0.16403700970053028</c:v>
                </c:pt>
                <c:pt idx="17">
                  <c:v>-0.13038327877723191</c:v>
                </c:pt>
                <c:pt idx="18">
                  <c:v>-9.3537874634352619E-2</c:v>
                </c:pt>
                <c:pt idx="19">
                  <c:v>-5.2723669775708498E-2</c:v>
                </c:pt>
                <c:pt idx="20">
                  <c:v>-6.9508822811918392E-3</c:v>
                </c:pt>
                <c:pt idx="21">
                  <c:v>4.5056110326606114E-2</c:v>
                </c:pt>
                <c:pt idx="22">
                  <c:v>0.10495575152396852</c:v>
                </c:pt>
                <c:pt idx="23">
                  <c:v>0.17491125049746875</c:v>
                </c:pt>
                <c:pt idx="24">
                  <c:v>0.25772404186647779</c:v>
                </c:pt>
                <c:pt idx="25">
                  <c:v>0.35692012231227954</c:v>
                </c:pt>
                <c:pt idx="26">
                  <c:v>0.47660824873407392</c:v>
                </c:pt>
                <c:pt idx="27">
                  <c:v>0.62064107446180861</c:v>
                </c:pt>
                <c:pt idx="28">
                  <c:v>0.79010308546733243</c:v>
                </c:pt>
                <c:pt idx="29">
                  <c:v>0.97795706860718723</c:v>
                </c:pt>
                <c:pt idx="30">
                  <c:v>1.1623506368362111</c:v>
                </c:pt>
                <c:pt idx="31">
                  <c:v>1.3082206775847698</c:v>
                </c:pt>
                <c:pt idx="32">
                  <c:v>1.3873142768396496</c:v>
                </c:pt>
                <c:pt idx="33">
                  <c:v>1.3991522013904343</c:v>
                </c:pt>
                <c:pt idx="34">
                  <c:v>1.365259956439949</c:v>
                </c:pt>
                <c:pt idx="35">
                  <c:v>1.3092237637553867</c:v>
                </c:pt>
                <c:pt idx="36">
                  <c:v>1.246592439946332</c:v>
                </c:pt>
                <c:pt idx="37">
                  <c:v>1.1851809565820555</c:v>
                </c:pt>
                <c:pt idx="38">
                  <c:v>1.1281325730362959</c:v>
                </c:pt>
                <c:pt idx="39">
                  <c:v>1.0762823512458382</c:v>
                </c:pt>
                <c:pt idx="40">
                  <c:v>1.0294642041395532</c:v>
                </c:pt>
                <c:pt idx="41">
                  <c:v>0.98714095477850394</c:v>
                </c:pt>
                <c:pt idx="42">
                  <c:v>0.94868441575515938</c:v>
                </c:pt>
                <c:pt idx="43">
                  <c:v>0.91348986043550751</c:v>
                </c:pt>
                <c:pt idx="44">
                  <c:v>0.88101586174334523</c:v>
                </c:pt>
                <c:pt idx="45">
                  <c:v>0.85079198714104898</c:v>
                </c:pt>
                <c:pt idx="46">
                  <c:v>0.82241362758353487</c:v>
                </c:pt>
                <c:pt idx="47">
                  <c:v>0.79553247842041885</c:v>
                </c:pt>
                <c:pt idx="48">
                  <c:v>0.76984627457447896</c:v>
                </c:pt>
                <c:pt idx="49">
                  <c:v>0.74508916223966681</c:v>
                </c:pt>
                <c:pt idx="50">
                  <c:v>0.72102310427863603</c:v>
                </c:pt>
                <c:pt idx="51">
                  <c:v>0.69743029341021012</c:v>
                </c:pt>
                <c:pt idx="52">
                  <c:v>0.67410637543299712</c:v>
                </c:pt>
                <c:pt idx="53">
                  <c:v>0.65085421985476688</c:v>
                </c:pt>
                <c:pt idx="54">
                  <c:v>0.6274779496320646</c:v>
                </c:pt>
                <c:pt idx="55">
                  <c:v>0.60377692243007619</c:v>
                </c:pt>
                <c:pt idx="56">
                  <c:v>0.5795393253729183</c:v>
                </c:pt>
                <c:pt idx="57">
                  <c:v>0.55453499190368971</c:v>
                </c:pt>
                <c:pt idx="58">
                  <c:v>0.52850696200348712</c:v>
                </c:pt>
                <c:pt idx="59">
                  <c:v>0.50116117196433141</c:v>
                </c:pt>
                <c:pt idx="60">
                  <c:v>0.47215345840691847</c:v>
                </c:pt>
                <c:pt idx="61">
                  <c:v>0.44107276716655597</c:v>
                </c:pt>
                <c:pt idx="62">
                  <c:v>0.40741903624325781</c:v>
                </c:pt>
                <c:pt idx="63">
                  <c:v>0.37057363210037852</c:v>
                </c:pt>
                <c:pt idx="64">
                  <c:v>0.32975942724173446</c:v>
                </c:pt>
                <c:pt idx="65">
                  <c:v>0.28398663974721777</c:v>
                </c:pt>
                <c:pt idx="66">
                  <c:v>0.23197964713941988</c:v>
                </c:pt>
                <c:pt idx="67">
                  <c:v>0.17208000594205766</c:v>
                </c:pt>
                <c:pt idx="68">
                  <c:v>0.10212450696855749</c:v>
                </c:pt>
                <c:pt idx="69">
                  <c:v>1.9311715599548293E-2</c:v>
                </c:pt>
                <c:pt idx="70">
                  <c:v>-7.9884364846253469E-2</c:v>
                </c:pt>
                <c:pt idx="71">
                  <c:v>-0.1995724912680478</c:v>
                </c:pt>
                <c:pt idx="72">
                  <c:v>-0.34360531699578234</c:v>
                </c:pt>
                <c:pt idx="73">
                  <c:v>-0.51306732800130683</c:v>
                </c:pt>
                <c:pt idx="74">
                  <c:v>-0.70092131114116152</c:v>
                </c:pt>
                <c:pt idx="75">
                  <c:v>-0.88531487937018405</c:v>
                </c:pt>
                <c:pt idx="76">
                  <c:v>-1.0311849201187437</c:v>
                </c:pt>
                <c:pt idx="77">
                  <c:v>-1.1102785193736235</c:v>
                </c:pt>
                <c:pt idx="78">
                  <c:v>-1.1221164439244082</c:v>
                </c:pt>
                <c:pt idx="79">
                  <c:v>-1.0882241989739223</c:v>
                </c:pt>
                <c:pt idx="80">
                  <c:v>-1.0321880062893609</c:v>
                </c:pt>
                <c:pt idx="81">
                  <c:v>-0.96955668248030558</c:v>
                </c:pt>
                <c:pt idx="82">
                  <c:v>-0.90814519911602953</c:v>
                </c:pt>
                <c:pt idx="83">
                  <c:v>-0.85109681557027017</c:v>
                </c:pt>
                <c:pt idx="84">
                  <c:v>-0.79924659377981266</c:v>
                </c:pt>
                <c:pt idx="85">
                  <c:v>-0.75242844667352748</c:v>
                </c:pt>
                <c:pt idx="86">
                  <c:v>-0.71010519731247856</c:v>
                </c:pt>
                <c:pt idx="87">
                  <c:v>-0.67164865828913356</c:v>
                </c:pt>
                <c:pt idx="88">
                  <c:v>-0.63645410296948179</c:v>
                </c:pt>
                <c:pt idx="89">
                  <c:v>-0.60398010427731963</c:v>
                </c:pt>
                <c:pt idx="90">
                  <c:v>-0.57375622967502315</c:v>
                </c:pt>
              </c:numCache>
            </c:numRef>
          </c:xVal>
          <c:yVal>
            <c:numRef>
              <c:f>'Min. Dis. Classifier (15.12.17)'!$F$435:$F$525</c:f>
              <c:numCache>
                <c:formatCode>General</c:formatCode>
                <c:ptCount val="91"/>
                <c:pt idx="0">
                  <c:v>-0.61482402784515977</c:v>
                </c:pt>
                <c:pt idx="1">
                  <c:v>-0.66264667726399651</c:v>
                </c:pt>
                <c:pt idx="2">
                  <c:v>-0.70716140809688544</c:v>
                </c:pt>
                <c:pt idx="3">
                  <c:v>-0.74901702094987233</c:v>
                </c:pt>
                <c:pt idx="4">
                  <c:v>-0.7887555445244907</c:v>
                </c:pt>
                <c:pt idx="5">
                  <c:v>-0.82683859124828718</c:v>
                </c:pt>
                <c:pt idx="6">
                  <c:v>-0.86366786743450774</c:v>
                </c:pt>
                <c:pt idx="7">
                  <c:v>-0.89960148302993415</c:v>
                </c:pt>
                <c:pt idx="8">
                  <c:v>-0.93496730528150618</c:v>
                </c:pt>
                <c:pt idx="9">
                  <c:v>-0.97007431384983711</c:v>
                </c:pt>
                <c:pt idx="10">
                  <c:v>-1.0052227198132595</c:v>
                </c:pt>
                <c:pt idx="11">
                  <c:v>-1.0407134883144931</c:v>
                </c:pt>
                <c:pt idx="12">
                  <c:v>-1.0768578401156259</c:v>
                </c:pt>
                <c:pt idx="13">
                  <c:v>-1.1139872916238529</c:v>
                </c:pt>
                <c:pt idx="14">
                  <c:v>-1.1524648198828329</c:v>
                </c:pt>
                <c:pt idx="15">
                  <c:v>-1.1926978030530582</c:v>
                </c:pt>
                <c:pt idx="16">
                  <c:v>-1.2351534778890485</c:v>
                </c:pt>
                <c:pt idx="17">
                  <c:v>-1.2803777476671914</c:v>
                </c:pt>
                <c:pt idx="18">
                  <c:v>-1.3290181996907018</c:v>
                </c:pt>
                <c:pt idx="19">
                  <c:v>-1.3818519843038097</c:v>
                </c:pt>
                <c:pt idx="20">
                  <c:v>-1.4398183675073328</c:v>
                </c:pt>
                <c:pt idx="21">
                  <c:v>-1.5040533549998614</c:v>
                </c:pt>
                <c:pt idx="22">
                  <c:v>-1.5759176033167954</c:v>
                </c:pt>
                <c:pt idx="23">
                  <c:v>-1.6569938395114225</c:v>
                </c:pt>
                <c:pt idx="24">
                  <c:v>-1.7489949090864565</c:v>
                </c:pt>
                <c:pt idx="25">
                  <c:v>-1.8534447012199724</c:v>
                </c:pt>
                <c:pt idx="26">
                  <c:v>-1.9708304376574932</c:v>
                </c:pt>
                <c:pt idx="27">
                  <c:v>-2.0986466502299961</c:v>
                </c:pt>
                <c:pt idx="28">
                  <c:v>-2.2275540069138136</c:v>
                </c:pt>
                <c:pt idx="29">
                  <c:v>-2.3359294236163914</c:v>
                </c:pt>
                <c:pt idx="30">
                  <c:v>-2.3881543833332746</c:v>
                </c:pt>
                <c:pt idx="31">
                  <c:v>-2.3489797421828831</c:v>
                </c:pt>
                <c:pt idx="32">
                  <c:v>-2.2132105279146059</c:v>
                </c:pt>
                <c:pt idx="33">
                  <c:v>-2.0149002832117144</c:v>
                </c:pt>
                <c:pt idx="34">
                  <c:v>-1.7994750818702547</c:v>
                </c:pt>
                <c:pt idx="35">
                  <c:v>-1.5971629041845046</c:v>
                </c:pt>
                <c:pt idx="36">
                  <c:v>-1.4198873207675153</c:v>
                </c:pt>
                <c:pt idx="37">
                  <c:v>-1.2688517069681127</c:v>
                </c:pt>
                <c:pt idx="38">
                  <c:v>-1.1410114945170062</c:v>
                </c:pt>
                <c:pt idx="39">
                  <c:v>-1.0323436710710978</c:v>
                </c:pt>
                <c:pt idx="40">
                  <c:v>-0.9391019706219903</c:v>
                </c:pt>
                <c:pt idx="41">
                  <c:v>-0.85816277914965022</c:v>
                </c:pt>
                <c:pt idx="42">
                  <c:v>-0.78703024133469579</c:v>
                </c:pt>
                <c:pt idx="43">
                  <c:v>-0.72373923702459464</c:v>
                </c:pt>
                <c:pt idx="44">
                  <c:v>-0.66674454467155897</c:v>
                </c:pt>
                <c:pt idx="45">
                  <c:v>-0.61482402784515966</c:v>
                </c:pt>
                <c:pt idx="46">
                  <c:v>-0.56700137842632303</c:v>
                </c:pt>
                <c:pt idx="47">
                  <c:v>-0.52248664759343399</c:v>
                </c:pt>
                <c:pt idx="48">
                  <c:v>-0.48063103474044699</c:v>
                </c:pt>
                <c:pt idx="49">
                  <c:v>-0.44089251116582895</c:v>
                </c:pt>
                <c:pt idx="50">
                  <c:v>-0.40280946444203219</c:v>
                </c:pt>
                <c:pt idx="51">
                  <c:v>-0.3659801882558118</c:v>
                </c:pt>
                <c:pt idx="52">
                  <c:v>-0.33004657266038523</c:v>
                </c:pt>
                <c:pt idx="53">
                  <c:v>-0.29468075040881314</c:v>
                </c:pt>
                <c:pt idx="54">
                  <c:v>-0.25957374184048215</c:v>
                </c:pt>
                <c:pt idx="55">
                  <c:v>-0.22442533587705993</c:v>
                </c:pt>
                <c:pt idx="56">
                  <c:v>-0.18893456737582615</c:v>
                </c:pt>
                <c:pt idx="57">
                  <c:v>-0.15279021557469352</c:v>
                </c:pt>
                <c:pt idx="58">
                  <c:v>-0.11566076406646647</c:v>
                </c:pt>
                <c:pt idx="59">
                  <c:v>-7.7183235807486539E-2</c:v>
                </c:pt>
                <c:pt idx="60">
                  <c:v>-3.6950252637261261E-2</c:v>
                </c:pt>
                <c:pt idx="61">
                  <c:v>5.5054221987290708E-3</c:v>
                </c:pt>
                <c:pt idx="62">
                  <c:v>5.072969197687216E-2</c:v>
                </c:pt>
                <c:pt idx="63">
                  <c:v>9.9370144000382132E-2</c:v>
                </c:pt>
                <c:pt idx="64">
                  <c:v>0.15220392861349041</c:v>
                </c:pt>
                <c:pt idx="65">
                  <c:v>0.2101703118170134</c:v>
                </c:pt>
                <c:pt idx="66">
                  <c:v>0.27440529930954183</c:v>
                </c:pt>
                <c:pt idx="67">
                  <c:v>0.34626954762647566</c:v>
                </c:pt>
                <c:pt idx="68">
                  <c:v>0.42734578382110266</c:v>
                </c:pt>
                <c:pt idx="69">
                  <c:v>0.51934685339613662</c:v>
                </c:pt>
                <c:pt idx="70">
                  <c:v>0.62379664552965297</c:v>
                </c:pt>
                <c:pt idx="71">
                  <c:v>0.74118238196717356</c:v>
                </c:pt>
                <c:pt idx="72">
                  <c:v>0.86899859453967665</c:v>
                </c:pt>
                <c:pt idx="73">
                  <c:v>0.99790595122349413</c:v>
                </c:pt>
                <c:pt idx="74">
                  <c:v>1.1062813679260719</c:v>
                </c:pt>
                <c:pt idx="75">
                  <c:v>1.1585063276429546</c:v>
                </c:pt>
                <c:pt idx="76">
                  <c:v>1.1193316864925644</c:v>
                </c:pt>
                <c:pt idx="77">
                  <c:v>0.98356247222428672</c:v>
                </c:pt>
                <c:pt idx="78">
                  <c:v>0.78525222752139523</c:v>
                </c:pt>
                <c:pt idx="79">
                  <c:v>0.56982702617993464</c:v>
                </c:pt>
                <c:pt idx="80">
                  <c:v>0.36751484849418581</c:v>
                </c:pt>
                <c:pt idx="81">
                  <c:v>0.19023926507719602</c:v>
                </c:pt>
                <c:pt idx="82">
                  <c:v>3.9203651277793461E-2</c:v>
                </c:pt>
                <c:pt idx="83">
                  <c:v>-8.8636561173312534E-2</c:v>
                </c:pt>
                <c:pt idx="84">
                  <c:v>-0.19730438461922117</c:v>
                </c:pt>
                <c:pt idx="85">
                  <c:v>-0.29054608506832885</c:v>
                </c:pt>
                <c:pt idx="86">
                  <c:v>-0.37148527654066854</c:v>
                </c:pt>
                <c:pt idx="87">
                  <c:v>-0.44261781435562353</c:v>
                </c:pt>
                <c:pt idx="88">
                  <c:v>-0.50590881866572435</c:v>
                </c:pt>
                <c:pt idx="89">
                  <c:v>-0.56290351101876013</c:v>
                </c:pt>
                <c:pt idx="90">
                  <c:v>-0.61482402784515955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49-400D-9DD5-F5AE23428A42}"/>
            </c:ext>
          </c:extLst>
        </c:ser>
        <c:ser>
          <c:idx val="7"/>
          <c:order val="7"/>
          <c:tx>
            <c:v>Elipse Ill</c:v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(15.12.17)'!$J$435:$J$525</c:f>
              <c:numCache>
                <c:formatCode>General</c:formatCode>
                <c:ptCount val="91"/>
                <c:pt idx="0">
                  <c:v>-0.2395147344829005</c:v>
                </c:pt>
                <c:pt idx="1">
                  <c:v>-0.18367391827159529</c:v>
                </c:pt>
                <c:pt idx="2">
                  <c:v>-0.13274498396101897</c:v>
                </c:pt>
                <c:pt idx="3">
                  <c:v>-8.5769551844013026E-2</c:v>
                </c:pt>
                <c:pt idx="4">
                  <c:v>-4.1971340609854524E-2</c:v>
                </c:pt>
                <c:pt idx="5">
                  <c:v>-7.1177826143398182E-4</c:v>
                </c:pt>
                <c:pt idx="6">
                  <c:v>3.854398602237108E-2</c:v>
                </c:pt>
                <c:pt idx="7">
                  <c:v>7.6253272611058076E-2</c:v>
                </c:pt>
                <c:pt idx="8">
                  <c:v>0.11281637169436998</c:v>
                </c:pt>
                <c:pt idx="9">
                  <c:v>0.14859298778038887</c:v>
                </c:pt>
                <c:pt idx="10">
                  <c:v>0.18391589104363781</c:v>
                </c:pt>
                <c:pt idx="11">
                  <c:v>0.21910277265646982</c:v>
                </c:pt>
                <c:pt idx="12">
                  <c:v>0.25446713014608446</c:v>
                </c:pt>
                <c:pt idx="13">
                  <c:v>0.29032891953858553</c:v>
                </c:pt>
                <c:pt idx="14">
                  <c:v>0.32702569679100307</c:v>
                </c:pt>
                <c:pt idx="15">
                  <c:v>0.36492503327261361</c:v>
                </c:pt>
                <c:pt idx="16">
                  <c:v>0.40443914064406844</c:v>
                </c:pt>
                <c:pt idx="17">
                  <c:v>0.4460429045783954</c:v>
                </c:pt>
                <c:pt idx="18">
                  <c:v>0.49029694807744401</c:v>
                </c:pt>
                <c:pt idx="19">
                  <c:v>0.53787799402715664</c:v>
                </c:pt>
                <c:pt idx="20">
                  <c:v>0.5896197818022062</c:v>
                </c:pt>
                <c:pt idx="21">
                  <c:v>0.64656927490563931</c:v>
                </c:pt>
                <c:pt idx="22">
                  <c:v>0.71006509483608327</c:v>
                </c:pt>
                <c:pt idx="23">
                  <c:v>0.78184827005120017</c:v>
                </c:pt>
                <c:pt idx="24">
                  <c:v>0.86421955097107106</c:v>
                </c:pt>
                <c:pt idx="25">
                  <c:v>0.96026179768409947</c:v>
                </c:pt>
                <c:pt idx="26">
                  <c:v>1.0741457713046867</c:v>
                </c:pt>
                <c:pt idx="27">
                  <c:v>1.2115164060501415</c:v>
                </c:pt>
                <c:pt idx="28">
                  <c:v>1.3798592950357476</c:v>
                </c:pt>
                <c:pt idx="29">
                  <c:v>1.5884064393385757</c:v>
                </c:pt>
                <c:pt idx="30">
                  <c:v>1.8461219304115186</c:v>
                </c:pt>
                <c:pt idx="31">
                  <c:v>2.153968111057174</c:v>
                </c:pt>
                <c:pt idx="32">
                  <c:v>2.485918077829484</c:v>
                </c:pt>
                <c:pt idx="33">
                  <c:v>2.7674727330470312</c:v>
                </c:pt>
                <c:pt idx="34">
                  <c:v>2.9040186002798385</c:v>
                </c:pt>
                <c:pt idx="35">
                  <c:v>2.872282754190512</c:v>
                </c:pt>
                <c:pt idx="36">
                  <c:v>2.7360691231494583</c:v>
                </c:pt>
                <c:pt idx="37">
                  <c:v>2.5672284944321202</c:v>
                </c:pt>
                <c:pt idx="38">
                  <c:v>2.4043221972017874</c:v>
                </c:pt>
                <c:pt idx="39">
                  <c:v>2.2602849258706059</c:v>
                </c:pt>
                <c:pt idx="40">
                  <c:v>2.1365496343134458</c:v>
                </c:pt>
                <c:pt idx="41">
                  <c:v>2.0307388210379207</c:v>
                </c:pt>
                <c:pt idx="42">
                  <c:v>1.9397222335827009</c:v>
                </c:pt>
                <c:pt idx="43">
                  <c:v>1.8606216178769546</c:v>
                </c:pt>
                <c:pt idx="44">
                  <c:v>1.7910501857043006</c:v>
                </c:pt>
                <c:pt idx="45">
                  <c:v>1.7290993808428419</c:v>
                </c:pt>
                <c:pt idx="46">
                  <c:v>1.6732585646315365</c:v>
                </c:pt>
                <c:pt idx="47">
                  <c:v>1.6223296303209604</c:v>
                </c:pt>
                <c:pt idx="48">
                  <c:v>1.5753541982039541</c:v>
                </c:pt>
                <c:pt idx="49">
                  <c:v>1.5315559869697961</c:v>
                </c:pt>
                <c:pt idx="50">
                  <c:v>1.4902964246213752</c:v>
                </c:pt>
                <c:pt idx="51">
                  <c:v>1.4510406603375703</c:v>
                </c:pt>
                <c:pt idx="52">
                  <c:v>1.4133313737488835</c:v>
                </c:pt>
                <c:pt idx="53">
                  <c:v>1.3767682746655712</c:v>
                </c:pt>
                <c:pt idx="54">
                  <c:v>1.3409916585795525</c:v>
                </c:pt>
                <c:pt idx="55">
                  <c:v>1.3056687553163036</c:v>
                </c:pt>
                <c:pt idx="56">
                  <c:v>1.2704818737034713</c:v>
                </c:pt>
                <c:pt idx="57">
                  <c:v>1.2351175162138568</c:v>
                </c:pt>
                <c:pt idx="58">
                  <c:v>1.1992557268213555</c:v>
                </c:pt>
                <c:pt idx="59">
                  <c:v>1.1625589495689381</c:v>
                </c:pt>
                <c:pt idx="60">
                  <c:v>1.1246596130873276</c:v>
                </c:pt>
                <c:pt idx="61">
                  <c:v>1.0851455057158725</c:v>
                </c:pt>
                <c:pt idx="62">
                  <c:v>1.0435417417815458</c:v>
                </c:pt>
                <c:pt idx="63">
                  <c:v>0.99928769828249719</c:v>
                </c:pt>
                <c:pt idx="64">
                  <c:v>0.95170665233278462</c:v>
                </c:pt>
                <c:pt idx="65">
                  <c:v>0.89996486455773494</c:v>
                </c:pt>
                <c:pt idx="66">
                  <c:v>0.84301537145430194</c:v>
                </c:pt>
                <c:pt idx="67">
                  <c:v>0.77951955152385821</c:v>
                </c:pt>
                <c:pt idx="68">
                  <c:v>0.70773637630874142</c:v>
                </c:pt>
                <c:pt idx="69">
                  <c:v>0.6253650953888702</c:v>
                </c:pt>
                <c:pt idx="70">
                  <c:v>0.52932284867584189</c:v>
                </c:pt>
                <c:pt idx="71">
                  <c:v>0.41543887505525473</c:v>
                </c:pt>
                <c:pt idx="72">
                  <c:v>0.27806824030979982</c:v>
                </c:pt>
                <c:pt idx="73">
                  <c:v>0.10972535132419337</c:v>
                </c:pt>
                <c:pt idx="74">
                  <c:v>-9.8821792978635026E-2</c:v>
                </c:pt>
                <c:pt idx="75">
                  <c:v>-0.35653728405157603</c:v>
                </c:pt>
                <c:pt idx="76">
                  <c:v>-0.66438346469723253</c:v>
                </c:pt>
                <c:pt idx="77">
                  <c:v>-0.99633343146954279</c:v>
                </c:pt>
                <c:pt idx="78">
                  <c:v>-1.2778880866870899</c:v>
                </c:pt>
                <c:pt idx="79">
                  <c:v>-1.4144339539198989</c:v>
                </c:pt>
                <c:pt idx="80">
                  <c:v>-1.3826981078305716</c:v>
                </c:pt>
                <c:pt idx="81">
                  <c:v>-1.2464844767895182</c:v>
                </c:pt>
                <c:pt idx="82">
                  <c:v>-1.0776438480721793</c:v>
                </c:pt>
                <c:pt idx="83">
                  <c:v>-0.91473755084184616</c:v>
                </c:pt>
                <c:pt idx="84">
                  <c:v>-0.77070027951066533</c:v>
                </c:pt>
                <c:pt idx="85">
                  <c:v>-0.64696498795350521</c:v>
                </c:pt>
                <c:pt idx="86">
                  <c:v>-0.54115417467797988</c:v>
                </c:pt>
                <c:pt idx="87">
                  <c:v>-0.45013758722275987</c:v>
                </c:pt>
                <c:pt idx="88">
                  <c:v>-0.37103697151701376</c:v>
                </c:pt>
                <c:pt idx="89">
                  <c:v>-0.30146553934435982</c:v>
                </c:pt>
                <c:pt idx="90">
                  <c:v>-0.23951473448290073</c:v>
                </c:pt>
              </c:numCache>
            </c:numRef>
          </c:xVal>
          <c:yVal>
            <c:numRef>
              <c:f>'Min. Dis. Classifier (15.12.17)'!$K$435:$K$525</c:f>
              <c:numCache>
                <c:formatCode>General</c:formatCode>
                <c:ptCount val="91"/>
                <c:pt idx="0">
                  <c:v>0.9534591418726186</c:v>
                </c:pt>
                <c:pt idx="1">
                  <c:v>0.88853445761073691</c:v>
                </c:pt>
                <c:pt idx="2">
                  <c:v>0.8301293162445349</c:v>
                </c:pt>
                <c:pt idx="3">
                  <c:v>0.77691776546331415</c:v>
                </c:pt>
                <c:pt idx="4">
                  <c:v>0.72785829159819182</c:v>
                </c:pt>
                <c:pt idx="5">
                  <c:v>0.68211783942457582</c:v>
                </c:pt>
                <c:pt idx="6">
                  <c:v>0.63901712321860071</c:v>
                </c:pt>
                <c:pt idx="7">
                  <c:v>0.5979906232511174</c:v>
                </c:pt>
                <c:pt idx="8">
                  <c:v>0.5585567386455309</c:v>
                </c:pt>
                <c:pt idx="9">
                  <c:v>0.5202949695362904</c:v>
                </c:pt>
                <c:pt idx="10">
                  <c:v>0.48282793453099293</c:v>
                </c:pt>
                <c:pt idx="11">
                  <c:v>0.44580664389869806</c:v>
                </c:pt>
                <c:pt idx="12">
                  <c:v>0.40889784615314506</c:v>
                </c:pt>
                <c:pt idx="13">
                  <c:v>0.37177251124384236</c:v>
                </c:pt>
                <c:pt idx="14">
                  <c:v>0.33409464764109076</c:v>
                </c:pt>
                <c:pt idx="15">
                  <c:v>0.29550969561957996</c:v>
                </c:pt>
                <c:pt idx="16">
                  <c:v>0.2556317042255194</c:v>
                </c:pt>
                <c:pt idx="17">
                  <c:v>0.2140283834260982</c:v>
                </c:pt>
                <c:pt idx="18">
                  <c:v>0.17020291563233159</c:v>
                </c:pt>
                <c:pt idx="19">
                  <c:v>0.12357109563115287</c:v>
                </c:pt>
                <c:pt idx="20">
                  <c:v>7.3431929053026757E-2</c:v>
                </c:pt>
                <c:pt idx="21">
                  <c:v>1.8929262785931433E-2</c:v>
                </c:pt>
                <c:pt idx="22">
                  <c:v>-4.099856479659103E-2</c:v>
                </c:pt>
                <c:pt idx="23">
                  <c:v>-0.10768433837017233</c:v>
                </c:pt>
                <c:pt idx="24">
                  <c:v>-0.18281502908937142</c:v>
                </c:pt>
                <c:pt idx="25">
                  <c:v>-0.2685289715652287</c:v>
                </c:pt>
                <c:pt idx="26">
                  <c:v>-0.36750538826027868</c:v>
                </c:pt>
                <c:pt idx="27">
                  <c:v>-0.48296988438012523</c:v>
                </c:pt>
                <c:pt idx="28">
                  <c:v>-0.61838677120651153</c:v>
                </c:pt>
                <c:pt idx="29">
                  <c:v>-0.77620612129789224</c:v>
                </c:pt>
                <c:pt idx="30">
                  <c:v>-0.95409969373229819</c:v>
                </c:pt>
                <c:pt idx="31">
                  <c:v>-1.1357298790073127</c:v>
                </c:pt>
                <c:pt idx="32">
                  <c:v>-1.2750801983868856</c:v>
                </c:pt>
                <c:pt idx="33">
                  <c:v>-1.2929550348255794</c:v>
                </c:pt>
                <c:pt idx="34">
                  <c:v>-1.1316814361911924</c:v>
                </c:pt>
                <c:pt idx="35">
                  <c:v>-0.83171729412151885</c:v>
                </c:pt>
                <c:pt idx="36">
                  <c:v>-0.49328813833563834</c:v>
                </c:pt>
                <c:pt idx="37">
                  <c:v>-0.18532536735382832</c:v>
                </c:pt>
                <c:pt idx="38">
                  <c:v>7.1071455731233191E-2</c:v>
                </c:pt>
                <c:pt idx="39">
                  <c:v>0.27871836278185547</c:v>
                </c:pt>
                <c:pt idx="40">
                  <c:v>0.44690090729766796</c:v>
                </c:pt>
                <c:pt idx="41">
                  <c:v>0.58471991727915285</c:v>
                </c:pt>
                <c:pt idx="42">
                  <c:v>0.69946894868074683</c:v>
                </c:pt>
                <c:pt idx="43">
                  <c:v>0.79663956141052383</c:v>
                </c:pt>
                <c:pt idx="44">
                  <c:v>0.8802976650754607</c:v>
                </c:pt>
                <c:pt idx="45">
                  <c:v>0.95345914187261871</c:v>
                </c:pt>
                <c:pt idx="46">
                  <c:v>1.0183838261345004</c:v>
                </c:pt>
                <c:pt idx="47">
                  <c:v>1.0767889675007023</c:v>
                </c:pt>
                <c:pt idx="48">
                  <c:v>1.1300005182819233</c:v>
                </c:pt>
                <c:pt idx="49">
                  <c:v>1.1790599921470453</c:v>
                </c:pt>
                <c:pt idx="50">
                  <c:v>1.2248004443206615</c:v>
                </c:pt>
                <c:pt idx="51">
                  <c:v>1.2679011605266366</c:v>
                </c:pt>
                <c:pt idx="52">
                  <c:v>1.30892766049412</c:v>
                </c:pt>
                <c:pt idx="53">
                  <c:v>1.3483615450997064</c:v>
                </c:pt>
                <c:pt idx="54">
                  <c:v>1.386623314208947</c:v>
                </c:pt>
                <c:pt idx="55">
                  <c:v>1.4240903492142443</c:v>
                </c:pt>
                <c:pt idx="56">
                  <c:v>1.4611116398465396</c:v>
                </c:pt>
                <c:pt idx="57">
                  <c:v>1.4980204375920922</c:v>
                </c:pt>
                <c:pt idx="58">
                  <c:v>1.5351457725013951</c:v>
                </c:pt>
                <c:pt idx="59">
                  <c:v>1.5728236361041468</c:v>
                </c:pt>
                <c:pt idx="60">
                  <c:v>1.6114085881256572</c:v>
                </c:pt>
                <c:pt idx="61">
                  <c:v>1.6512865795197182</c:v>
                </c:pt>
                <c:pt idx="62">
                  <c:v>1.6928899003191393</c:v>
                </c:pt>
                <c:pt idx="63">
                  <c:v>1.7367153681129057</c:v>
                </c:pt>
                <c:pt idx="64">
                  <c:v>1.7833471881140843</c:v>
                </c:pt>
                <c:pt idx="65">
                  <c:v>1.8334863546922104</c:v>
                </c:pt>
                <c:pt idx="66">
                  <c:v>1.8879890209593058</c:v>
                </c:pt>
                <c:pt idx="67">
                  <c:v>1.9479168485418281</c:v>
                </c:pt>
                <c:pt idx="68">
                  <c:v>2.0146026221154094</c:v>
                </c:pt>
                <c:pt idx="69">
                  <c:v>2.0897333128346087</c:v>
                </c:pt>
                <c:pt idx="70">
                  <c:v>2.1754472553104658</c:v>
                </c:pt>
                <c:pt idx="71">
                  <c:v>2.2744236720055158</c:v>
                </c:pt>
                <c:pt idx="72">
                  <c:v>2.3898881681253625</c:v>
                </c:pt>
                <c:pt idx="73">
                  <c:v>2.5253050549517497</c:v>
                </c:pt>
                <c:pt idx="74">
                  <c:v>2.68312440504313</c:v>
                </c:pt>
                <c:pt idx="75">
                  <c:v>2.8610179774775344</c:v>
                </c:pt>
                <c:pt idx="76">
                  <c:v>3.0426481627525495</c:v>
                </c:pt>
                <c:pt idx="77">
                  <c:v>3.1819984821321228</c:v>
                </c:pt>
                <c:pt idx="78">
                  <c:v>3.199873318570817</c:v>
                </c:pt>
                <c:pt idx="79">
                  <c:v>3.0385997199364305</c:v>
                </c:pt>
                <c:pt idx="80">
                  <c:v>2.7386355778667579</c:v>
                </c:pt>
                <c:pt idx="81">
                  <c:v>2.4002064220808768</c:v>
                </c:pt>
                <c:pt idx="82">
                  <c:v>2.0922436510990656</c:v>
                </c:pt>
                <c:pt idx="83">
                  <c:v>1.835846828014005</c:v>
                </c:pt>
                <c:pt idx="84">
                  <c:v>1.6281999209633828</c:v>
                </c:pt>
                <c:pt idx="85">
                  <c:v>1.4600173764475701</c:v>
                </c:pt>
                <c:pt idx="86">
                  <c:v>1.3221983664660855</c:v>
                </c:pt>
                <c:pt idx="87">
                  <c:v>1.2074493350644906</c:v>
                </c:pt>
                <c:pt idx="88">
                  <c:v>1.1102787223347139</c:v>
                </c:pt>
                <c:pt idx="89">
                  <c:v>1.0266206186697771</c:v>
                </c:pt>
                <c:pt idx="90">
                  <c:v>0.95345914187261882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49-400D-9DD5-F5AE23428A42}"/>
            </c:ext>
          </c:extLst>
        </c:ser>
        <c:ser>
          <c:idx val="8"/>
          <c:order val="8"/>
          <c:tx>
            <c:v>Elipse Normal</c:v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'Min. Dis. Classifier (15.12.17)'!$O$435:$O$525</c:f>
              <c:numCache>
                <c:formatCode>General</c:formatCode>
                <c:ptCount val="91"/>
                <c:pt idx="0">
                  <c:v>-2.4235606399355212</c:v>
                </c:pt>
                <c:pt idx="1">
                  <c:v>-2.3217904743535578</c:v>
                </c:pt>
                <c:pt idx="2">
                  <c:v>-2.223300956171077</c:v>
                </c:pt>
                <c:pt idx="3">
                  <c:v>-2.1296877835171704</c:v>
                </c:pt>
                <c:pt idx="4">
                  <c:v>-2.0415005239853001</c:v>
                </c:pt>
                <c:pt idx="5">
                  <c:v>-1.9586926867976886</c:v>
                </c:pt>
                <c:pt idx="6">
                  <c:v>-1.8809051600282132</c:v>
                </c:pt>
                <c:pt idx="7">
                  <c:v>-1.8076337884222224</c:v>
                </c:pt>
                <c:pt idx="8">
                  <c:v>-1.7383233668994809</c:v>
                </c:pt>
                <c:pt idx="9">
                  <c:v>-1.6724172763171321</c:v>
                </c:pt>
                <c:pt idx="10">
                  <c:v>-1.6093812867621615</c:v>
                </c:pt>
                <c:pt idx="11">
                  <c:v>-1.5487127195802493</c:v>
                </c:pt>
                <c:pt idx="12">
                  <c:v>-1.4899415233811011</c:v>
                </c:pt>
                <c:pt idx="13">
                  <c:v>-1.4326270089949651</c:v>
                </c:pt>
                <c:pt idx="14">
                  <c:v>-1.3763523230841375</c:v>
                </c:pt>
                <c:pt idx="15">
                  <c:v>-1.3207177649661739</c:v>
                </c:pt>
                <c:pt idx="16">
                  <c:v>-1.2653334826426739</c:v>
                </c:pt>
                <c:pt idx="17">
                  <c:v>-1.2098117515632132</c:v>
                </c:pt>
                <c:pt idx="18">
                  <c:v>-1.1537588430433716</c:v>
                </c:pt>
                <c:pt idx="19">
                  <c:v>-1.0967663709919215</c:v>
                </c:pt>
                <c:pt idx="20">
                  <c:v>-1.0384019346750595</c:v>
                </c:pt>
                <c:pt idx="21">
                  <c:v>-0.97819883865520951</c:v>
                </c:pt>
                <c:pt idx="22">
                  <c:v>-0.91564467102720104</c:v>
                </c:pt>
                <c:pt idx="23">
                  <c:v>-0.85016857756256126</c:v>
                </c:pt>
                <c:pt idx="24">
                  <c:v>-0.78112722881186225</c:v>
                </c:pt>
                <c:pt idx="25">
                  <c:v>-0.70778983104333237</c:v>
                </c:pt>
                <c:pt idx="26">
                  <c:v>-0.62932325078044737</c:v>
                </c:pt>
                <c:pt idx="27">
                  <c:v>-0.54477971633987998</c:v>
                </c:pt>
                <c:pt idx="28">
                  <c:v>-0.45309217449005823</c:v>
                </c:pt>
                <c:pt idx="29">
                  <c:v>-0.35308713917300982</c:v>
                </c:pt>
                <c:pt idx="30">
                  <c:v>-0.24353321184436216</c:v>
                </c:pt>
                <c:pt idx="31">
                  <c:v>-0.12325726063420595</c:v>
                </c:pt>
                <c:pt idx="32">
                  <c:v>8.6191684248085876E-3</c:v>
                </c:pt>
                <c:pt idx="33">
                  <c:v>0.15224638026829906</c:v>
                </c:pt>
                <c:pt idx="34">
                  <c:v>0.30632927125597853</c:v>
                </c:pt>
                <c:pt idx="35">
                  <c:v>0.46709713063795466</c:v>
                </c:pt>
                <c:pt idx="36">
                  <c:v>0.62715941389967977</c:v>
                </c:pt>
                <c:pt idx="37">
                  <c:v>0.77492841231803322</c:v>
                </c:pt>
                <c:pt idx="38">
                  <c:v>0.89579593955983905</c:v>
                </c:pt>
                <c:pt idx="39">
                  <c:v>0.97589578254246045</c:v>
                </c:pt>
                <c:pt idx="40">
                  <c:v>1.0072606345073698</c:v>
                </c:pt>
                <c:pt idx="41">
                  <c:v>0.99099024504681565</c:v>
                </c:pt>
                <c:pt idx="42">
                  <c:v>0.93600093180731869</c:v>
                </c:pt>
                <c:pt idx="43">
                  <c:v>0.85467585646229793</c:v>
                </c:pt>
                <c:pt idx="44">
                  <c:v>0.75869981783295615</c:v>
                </c:pt>
                <c:pt idx="45">
                  <c:v>0.65694023610955743</c:v>
                </c:pt>
                <c:pt idx="46">
                  <c:v>0.55517007052759382</c:v>
                </c:pt>
                <c:pt idx="47">
                  <c:v>0.45668055234511373</c:v>
                </c:pt>
                <c:pt idx="48">
                  <c:v>0.36306737969120617</c:v>
                </c:pt>
                <c:pt idx="49">
                  <c:v>0.27488012015933683</c:v>
                </c:pt>
                <c:pt idx="50">
                  <c:v>0.19207228297172485</c:v>
                </c:pt>
                <c:pt idx="51">
                  <c:v>0.11428475620224954</c:v>
                </c:pt>
                <c:pt idx="52">
                  <c:v>4.1013384596258806E-2</c:v>
                </c:pt>
                <c:pt idx="53">
                  <c:v>-2.829703692648311E-2</c:v>
                </c:pt>
                <c:pt idx="54">
                  <c:v>-9.4203127508831863E-2</c:v>
                </c:pt>
                <c:pt idx="55">
                  <c:v>-0.15723911706380234</c:v>
                </c:pt>
                <c:pt idx="56">
                  <c:v>-0.21790768424571494</c:v>
                </c:pt>
                <c:pt idx="57">
                  <c:v>-0.276678880444863</c:v>
                </c:pt>
                <c:pt idx="58">
                  <c:v>-0.33399339483099899</c:v>
                </c:pt>
                <c:pt idx="59">
                  <c:v>-0.39026808074182623</c:v>
                </c:pt>
                <c:pt idx="60">
                  <c:v>-0.44590263885978992</c:v>
                </c:pt>
                <c:pt idx="61">
                  <c:v>-0.50128692118329032</c:v>
                </c:pt>
                <c:pt idx="62">
                  <c:v>-0.55680865226275089</c:v>
                </c:pt>
                <c:pt idx="63">
                  <c:v>-0.61286156078259235</c:v>
                </c:pt>
                <c:pt idx="64">
                  <c:v>-0.66985403283404232</c:v>
                </c:pt>
                <c:pt idx="65">
                  <c:v>-0.72821846915090449</c:v>
                </c:pt>
                <c:pt idx="66">
                  <c:v>-0.78842156517075446</c:v>
                </c:pt>
                <c:pt idx="67">
                  <c:v>-0.85097573279876271</c:v>
                </c:pt>
                <c:pt idx="68">
                  <c:v>-0.91645182626340249</c:v>
                </c:pt>
                <c:pt idx="69">
                  <c:v>-0.98549317501410183</c:v>
                </c:pt>
                <c:pt idx="70">
                  <c:v>-1.0588305727826315</c:v>
                </c:pt>
                <c:pt idx="71">
                  <c:v>-1.1372971530455165</c:v>
                </c:pt>
                <c:pt idx="72">
                  <c:v>-1.2218406874860839</c:v>
                </c:pt>
                <c:pt idx="73">
                  <c:v>-1.3135282293359061</c:v>
                </c:pt>
                <c:pt idx="74">
                  <c:v>-1.4135332646529544</c:v>
                </c:pt>
                <c:pt idx="75">
                  <c:v>-1.5230871919816016</c:v>
                </c:pt>
                <c:pt idx="76">
                  <c:v>-1.6433631431917579</c:v>
                </c:pt>
                <c:pt idx="77">
                  <c:v>-1.7752395722507726</c:v>
                </c:pt>
                <c:pt idx="78">
                  <c:v>-1.9188667840942633</c:v>
                </c:pt>
                <c:pt idx="79">
                  <c:v>-2.0729496750819427</c:v>
                </c:pt>
                <c:pt idx="80">
                  <c:v>-2.233717534463918</c:v>
                </c:pt>
                <c:pt idx="81">
                  <c:v>-2.3937798177256431</c:v>
                </c:pt>
                <c:pt idx="82">
                  <c:v>-2.5415488161439974</c:v>
                </c:pt>
                <c:pt idx="83">
                  <c:v>-2.6624163433858024</c:v>
                </c:pt>
                <c:pt idx="84">
                  <c:v>-2.7425161863684249</c:v>
                </c:pt>
                <c:pt idx="85">
                  <c:v>-2.7738810383333341</c:v>
                </c:pt>
                <c:pt idx="86">
                  <c:v>-2.7576106488727801</c:v>
                </c:pt>
                <c:pt idx="87">
                  <c:v>-2.7026213356332827</c:v>
                </c:pt>
                <c:pt idx="88">
                  <c:v>-2.6212962602882621</c:v>
                </c:pt>
                <c:pt idx="89">
                  <c:v>-2.5253202216589203</c:v>
                </c:pt>
                <c:pt idx="90">
                  <c:v>-2.4235606399355216</c:v>
                </c:pt>
              </c:numCache>
            </c:numRef>
          </c:xVal>
          <c:yVal>
            <c:numRef>
              <c:f>'Min. Dis. Classifier (15.12.17)'!$P$435:$P$525</c:f>
              <c:numCache>
                <c:formatCode>General</c:formatCode>
                <c:ptCount val="91"/>
                <c:pt idx="0">
                  <c:v>-0.33863511402745983</c:v>
                </c:pt>
                <c:pt idx="1">
                  <c:v>-0.43922345352286174</c:v>
                </c:pt>
                <c:pt idx="2">
                  <c:v>-0.5269585331243799</c:v>
                </c:pt>
                <c:pt idx="3">
                  <c:v>-0.60356084731584325</c:v>
                </c:pt>
                <c:pt idx="4">
                  <c:v>-0.67074084471220519</c:v>
                </c:pt>
                <c:pt idx="5">
                  <c:v>-0.73004232897671728</c:v>
                </c:pt>
                <c:pt idx="6">
                  <c:v>-0.78279300569952859</c:v>
                </c:pt>
                <c:pt idx="7">
                  <c:v>-0.83010668288158795</c:v>
                </c:pt>
                <c:pt idx="8">
                  <c:v>-0.8729066363065161</c:v>
                </c:pt>
                <c:pt idx="9">
                  <c:v>-0.91195496273196541</c:v>
                </c:pt>
                <c:pt idx="10">
                  <c:v>-0.94788109353289407</c:v>
                </c:pt>
                <c:pt idx="11">
                  <c:v>-0.98120685606710523</c:v>
                </c:pt>
                <c:pt idx="12">
                  <c:v>-1.012367451537324</c:v>
                </c:pt>
                <c:pt idx="13">
                  <c:v>-1.0417285646750638</c:v>
                </c:pt>
                <c:pt idx="14">
                  <c:v>-1.0696001187085442</c:v>
                </c:pt>
                <c:pt idx="15">
                  <c:v>-1.0962472368504754</c:v>
                </c:pt>
                <c:pt idx="16">
                  <c:v>-1.1218989140802724</c:v>
                </c:pt>
                <c:pt idx="17">
                  <c:v>-1.146754807186795</c:v>
                </c:pt>
                <c:pt idx="18">
                  <c:v>-1.1709904444858781</c:v>
                </c:pt>
                <c:pt idx="19">
                  <c:v>-1.1947610471148737</c:v>
                </c:pt>
                <c:pt idx="20">
                  <c:v>-1.2182040384140382</c:v>
                </c:pt>
                <c:pt idx="21">
                  <c:v>-1.2414401865573492</c:v>
                </c:pt>
                <c:pt idx="22">
                  <c:v>-1.2645731613508531</c:v>
                </c:pt>
                <c:pt idx="23">
                  <c:v>-1.287687063133351</c:v>
                </c:pt>
                <c:pt idx="24">
                  <c:v>-1.310841161127537</c:v>
                </c:pt>
                <c:pt idx="25">
                  <c:v>-1.3340606023130612</c:v>
                </c:pt>
                <c:pt idx="26">
                  <c:v>-1.3573211349967291</c:v>
                </c:pt>
                <c:pt idx="27">
                  <c:v>-1.3805248163077404</c:v>
                </c:pt>
                <c:pt idx="28">
                  <c:v>-1.4034620978046302</c:v>
                </c:pt>
                <c:pt idx="29">
                  <c:v>-1.425753496457165</c:v>
                </c:pt>
                <c:pt idx="30">
                  <c:v>-1.446761366339798</c:v>
                </c:pt>
                <c:pt idx="31">
                  <c:v>-1.465459938770679</c:v>
                </c:pt>
                <c:pt idx="32">
                  <c:v>-1.4802526480985565</c:v>
                </c:pt>
                <c:pt idx="33">
                  <c:v>-1.4887372140117359</c:v>
                </c:pt>
                <c:pt idx="34">
                  <c:v>-1.4874565993341262</c:v>
                </c:pt>
                <c:pt idx="35">
                  <c:v>-1.471761408710045</c:v>
                </c:pt>
                <c:pt idx="36">
                  <c:v>-1.4360555271752773</c:v>
                </c:pt>
                <c:pt idx="37">
                  <c:v>-1.3748176022130156</c:v>
                </c:pt>
                <c:pt idx="38">
                  <c:v>-1.2846026293754198</c:v>
                </c:pt>
                <c:pt idx="39">
                  <c:v>-1.1664069502043191</c:v>
                </c:pt>
                <c:pt idx="40">
                  <c:v>-1.0267466242562251</c:v>
                </c:pt>
                <c:pt idx="41">
                  <c:v>-0.876082118718853</c:v>
                </c:pt>
                <c:pt idx="42">
                  <c:v>-0.72534163321903655</c:v>
                </c:pt>
                <c:pt idx="43">
                  <c:v>-0.58289312537264071</c:v>
                </c:pt>
                <c:pt idx="44">
                  <c:v>-0.45345563988759374</c:v>
                </c:pt>
                <c:pt idx="45">
                  <c:v>-0.33863511402745966</c:v>
                </c:pt>
                <c:pt idx="46">
                  <c:v>-0.23804677453205786</c:v>
                </c:pt>
                <c:pt idx="47">
                  <c:v>-0.15031169493053981</c:v>
                </c:pt>
                <c:pt idx="48">
                  <c:v>-7.3709380739076069E-2</c:v>
                </c:pt>
                <c:pt idx="49">
                  <c:v>-6.5293833427146342E-3</c:v>
                </c:pt>
                <c:pt idx="50">
                  <c:v>5.2772100921797849E-2</c:v>
                </c:pt>
                <c:pt idx="51">
                  <c:v>0.10552277764460904</c:v>
                </c:pt>
                <c:pt idx="52">
                  <c:v>0.15283645482666847</c:v>
                </c:pt>
                <c:pt idx="53">
                  <c:v>0.19563640825159684</c:v>
                </c:pt>
                <c:pt idx="54">
                  <c:v>0.23468473467704604</c:v>
                </c:pt>
                <c:pt idx="55">
                  <c:v>0.27061086547797458</c:v>
                </c:pt>
                <c:pt idx="56">
                  <c:v>0.30393662801218585</c:v>
                </c:pt>
                <c:pt idx="57">
                  <c:v>0.3350972234824045</c:v>
                </c:pt>
                <c:pt idx="58">
                  <c:v>0.36445833662014443</c:v>
                </c:pt>
                <c:pt idx="59">
                  <c:v>0.39232989065362506</c:v>
                </c:pt>
                <c:pt idx="60">
                  <c:v>0.41897700879555616</c:v>
                </c:pt>
                <c:pt idx="61">
                  <c:v>0.44462868602535305</c:v>
                </c:pt>
                <c:pt idx="62">
                  <c:v>0.46948457913187575</c:v>
                </c:pt>
                <c:pt idx="63">
                  <c:v>0.49372021643095859</c:v>
                </c:pt>
                <c:pt idx="64">
                  <c:v>0.51749081905995431</c:v>
                </c:pt>
                <c:pt idx="65">
                  <c:v>0.54093381035911881</c:v>
                </c:pt>
                <c:pt idx="66">
                  <c:v>0.56416995850242957</c:v>
                </c:pt>
                <c:pt idx="67">
                  <c:v>0.58730293329593364</c:v>
                </c:pt>
                <c:pt idx="68">
                  <c:v>0.61041683507843159</c:v>
                </c:pt>
                <c:pt idx="69">
                  <c:v>0.6335709330726178</c:v>
                </c:pt>
                <c:pt idx="70">
                  <c:v>0.6567903742581418</c:v>
                </c:pt>
                <c:pt idx="71">
                  <c:v>0.6800509069418097</c:v>
                </c:pt>
                <c:pt idx="72">
                  <c:v>0.70325458825282094</c:v>
                </c:pt>
                <c:pt idx="73">
                  <c:v>0.72619186974971095</c:v>
                </c:pt>
                <c:pt idx="74">
                  <c:v>0.74848326840224555</c:v>
                </c:pt>
                <c:pt idx="75">
                  <c:v>0.76949113828487881</c:v>
                </c:pt>
                <c:pt idx="76">
                  <c:v>0.78818971071575938</c:v>
                </c:pt>
                <c:pt idx="77">
                  <c:v>0.80298242004363707</c:v>
                </c:pt>
                <c:pt idx="78">
                  <c:v>0.81146698595681666</c:v>
                </c:pt>
                <c:pt idx="79">
                  <c:v>0.81018637127920656</c:v>
                </c:pt>
                <c:pt idx="80">
                  <c:v>0.79449118065512558</c:v>
                </c:pt>
                <c:pt idx="81">
                  <c:v>0.75878529912035764</c:v>
                </c:pt>
                <c:pt idx="82">
                  <c:v>0.6975473741580962</c:v>
                </c:pt>
                <c:pt idx="83">
                  <c:v>0.60733240132050081</c:v>
                </c:pt>
                <c:pt idx="84">
                  <c:v>0.48913672214940046</c:v>
                </c:pt>
                <c:pt idx="85">
                  <c:v>0.34947639620130638</c:v>
                </c:pt>
                <c:pt idx="86">
                  <c:v>0.19881189066393484</c:v>
                </c:pt>
                <c:pt idx="87">
                  <c:v>4.8071405164117287E-2</c:v>
                </c:pt>
                <c:pt idx="88">
                  <c:v>-9.437710268227803E-2</c:v>
                </c:pt>
                <c:pt idx="89">
                  <c:v>-0.22381458816732525</c:v>
                </c:pt>
                <c:pt idx="90">
                  <c:v>-0.33863511402745949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49-400D-9DD5-F5AE2342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31768"/>
        <c:axId val="1"/>
      </c:scatterChart>
      <c:valAx>
        <c:axId val="643731768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3731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correct function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'MaxLikelihoodRatio (11.01.18)'!$B$112:$B$182</c:f>
              <c:numCache>
                <c:formatCode>0.000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-3.1999999999999997</c:v>
                </c:pt>
                <c:pt idx="4">
                  <c:v>-3.0999999999999996</c:v>
                </c:pt>
                <c:pt idx="5">
                  <c:v>-2.9999999999999996</c:v>
                </c:pt>
                <c:pt idx="6">
                  <c:v>-2.8999999999999995</c:v>
                </c:pt>
                <c:pt idx="7">
                  <c:v>-2.7999999999999994</c:v>
                </c:pt>
                <c:pt idx="8">
                  <c:v>-2.6999999999999993</c:v>
                </c:pt>
                <c:pt idx="9">
                  <c:v>-2.5999999999999992</c:v>
                </c:pt>
                <c:pt idx="10">
                  <c:v>-2.4999999999999991</c:v>
                </c:pt>
                <c:pt idx="11">
                  <c:v>-2.399999999999999</c:v>
                </c:pt>
                <c:pt idx="12">
                  <c:v>-2.2999999999999989</c:v>
                </c:pt>
                <c:pt idx="13">
                  <c:v>-2.1999999999999988</c:v>
                </c:pt>
                <c:pt idx="14">
                  <c:v>-2.0999999999999988</c:v>
                </c:pt>
                <c:pt idx="15">
                  <c:v>-1.9999999999999987</c:v>
                </c:pt>
                <c:pt idx="16">
                  <c:v>-1.8999999999999986</c:v>
                </c:pt>
                <c:pt idx="17">
                  <c:v>-1.7999999999999985</c:v>
                </c:pt>
                <c:pt idx="18">
                  <c:v>-1.6999999999999984</c:v>
                </c:pt>
                <c:pt idx="19">
                  <c:v>-1.5999999999999983</c:v>
                </c:pt>
                <c:pt idx="20">
                  <c:v>-1.4999999999999982</c:v>
                </c:pt>
                <c:pt idx="21">
                  <c:v>-1.3999999999999981</c:v>
                </c:pt>
                <c:pt idx="22">
                  <c:v>-1.299999999999998</c:v>
                </c:pt>
                <c:pt idx="23">
                  <c:v>-1.199999999999998</c:v>
                </c:pt>
                <c:pt idx="24">
                  <c:v>-1.0999999999999979</c:v>
                </c:pt>
                <c:pt idx="25">
                  <c:v>-0.99999999999999789</c:v>
                </c:pt>
                <c:pt idx="26">
                  <c:v>-0.89999999999999791</c:v>
                </c:pt>
                <c:pt idx="27">
                  <c:v>-0.79999999999999793</c:v>
                </c:pt>
                <c:pt idx="28">
                  <c:v>-0.69999999999999796</c:v>
                </c:pt>
                <c:pt idx="29">
                  <c:v>-0.59999999999999798</c:v>
                </c:pt>
                <c:pt idx="30">
                  <c:v>-0.499999999999998</c:v>
                </c:pt>
                <c:pt idx="31">
                  <c:v>-0.39999999999999802</c:v>
                </c:pt>
                <c:pt idx="32">
                  <c:v>-0.29999999999999805</c:v>
                </c:pt>
                <c:pt idx="33">
                  <c:v>-0.19999999999999804</c:v>
                </c:pt>
                <c:pt idx="34">
                  <c:v>-9.9999999999998035E-2</c:v>
                </c:pt>
                <c:pt idx="35">
                  <c:v>1.9706458687096529E-15</c:v>
                </c:pt>
                <c:pt idx="36">
                  <c:v>0.10000000000000198</c:v>
                </c:pt>
                <c:pt idx="37">
                  <c:v>0.20000000000000198</c:v>
                </c:pt>
                <c:pt idx="38">
                  <c:v>0.30000000000000199</c:v>
                </c:pt>
                <c:pt idx="39">
                  <c:v>0.40000000000000202</c:v>
                </c:pt>
                <c:pt idx="40">
                  <c:v>0.500000000000002</c:v>
                </c:pt>
                <c:pt idx="41">
                  <c:v>0.60000000000000198</c:v>
                </c:pt>
                <c:pt idx="42">
                  <c:v>0.70000000000000195</c:v>
                </c:pt>
                <c:pt idx="43">
                  <c:v>0.80000000000000193</c:v>
                </c:pt>
                <c:pt idx="44">
                  <c:v>0.90000000000000191</c:v>
                </c:pt>
                <c:pt idx="45">
                  <c:v>1.000000000000002</c:v>
                </c:pt>
                <c:pt idx="46">
                  <c:v>1.1000000000000021</c:v>
                </c:pt>
                <c:pt idx="47">
                  <c:v>1.2000000000000022</c:v>
                </c:pt>
                <c:pt idx="48">
                  <c:v>1.3000000000000023</c:v>
                </c:pt>
                <c:pt idx="49">
                  <c:v>1.4000000000000024</c:v>
                </c:pt>
                <c:pt idx="50">
                  <c:v>1.5000000000000024</c:v>
                </c:pt>
                <c:pt idx="51">
                  <c:v>1.6000000000000025</c:v>
                </c:pt>
                <c:pt idx="52">
                  <c:v>1.7000000000000026</c:v>
                </c:pt>
                <c:pt idx="53">
                  <c:v>1.8000000000000027</c:v>
                </c:pt>
                <c:pt idx="54">
                  <c:v>1.9000000000000028</c:v>
                </c:pt>
                <c:pt idx="55">
                  <c:v>2.0000000000000027</c:v>
                </c:pt>
                <c:pt idx="56">
                  <c:v>2.1000000000000028</c:v>
                </c:pt>
                <c:pt idx="57">
                  <c:v>2.2000000000000028</c:v>
                </c:pt>
                <c:pt idx="58">
                  <c:v>2.3000000000000029</c:v>
                </c:pt>
                <c:pt idx="59">
                  <c:v>2.400000000000003</c:v>
                </c:pt>
                <c:pt idx="60">
                  <c:v>2.5000000000000031</c:v>
                </c:pt>
                <c:pt idx="61">
                  <c:v>2.6000000000000032</c:v>
                </c:pt>
                <c:pt idx="62">
                  <c:v>2.7000000000000033</c:v>
                </c:pt>
                <c:pt idx="63">
                  <c:v>2.8000000000000034</c:v>
                </c:pt>
                <c:pt idx="64">
                  <c:v>2.9000000000000035</c:v>
                </c:pt>
                <c:pt idx="65">
                  <c:v>3.0000000000000036</c:v>
                </c:pt>
                <c:pt idx="66">
                  <c:v>3.1000000000000036</c:v>
                </c:pt>
                <c:pt idx="67">
                  <c:v>3.2000000000000037</c:v>
                </c:pt>
                <c:pt idx="68">
                  <c:v>3.3000000000000038</c:v>
                </c:pt>
                <c:pt idx="69">
                  <c:v>3.4000000000000039</c:v>
                </c:pt>
                <c:pt idx="70">
                  <c:v>3.500000000000004</c:v>
                </c:pt>
              </c:numCache>
            </c:numRef>
          </c:xVal>
          <c:yVal>
            <c:numRef>
              <c:f>'MaxLikelihoodRatio (11.01.18)'!$E$112:$E$182</c:f>
              <c:numCache>
                <c:formatCode>0.000</c:formatCode>
                <c:ptCount val="71"/>
                <c:pt idx="0">
                  <c:v>0.39566244291846375</c:v>
                </c:pt>
                <c:pt idx="1">
                  <c:v>0.39572513966652101</c:v>
                </c:pt>
                <c:pt idx="2">
                  <c:v>0.3958131387694519</c:v>
                </c:pt>
                <c:pt idx="3">
                  <c:v>0.39593541267321375</c:v>
                </c:pt>
                <c:pt idx="4">
                  <c:v>0.39610360521872834</c:v>
                </c:pt>
                <c:pt idx="5">
                  <c:v>0.39633263483325748</c:v>
                </c:pt>
                <c:pt idx="6">
                  <c:v>0.39664136727084026</c:v>
                </c:pt>
                <c:pt idx="7">
                  <c:v>0.3970533429539958</c:v>
                </c:pt>
                <c:pt idx="8">
                  <c:v>0.39759753434456091</c:v>
                </c:pt>
                <c:pt idx="9">
                  <c:v>0.39830909763384664</c:v>
                </c:pt>
                <c:pt idx="10">
                  <c:v>0.39923007088737539</c:v>
                </c:pt>
                <c:pt idx="11">
                  <c:v>0.400409958384702</c:v>
                </c:pt>
                <c:pt idx="12">
                  <c:v>0.40190612932741387</c:v>
                </c:pt>
                <c:pt idx="13">
                  <c:v>0.40378394968071818</c:v>
                </c:pt>
                <c:pt idx="14">
                  <c:v>0.40611656019843001</c:v>
                </c:pt>
                <c:pt idx="15">
                  <c:v>0.40898421327988715</c:v>
                </c:pt>
                <c:pt idx="16">
                  <c:v>0.4124730877785977</c:v>
                </c:pt>
                <c:pt idx="17">
                  <c:v>0.41667351553017973</c:v>
                </c:pt>
                <c:pt idx="18">
                  <c:v>0.42167757702901421</c:v>
                </c:pt>
                <c:pt idx="19">
                  <c:v>0.42757605651836089</c:v>
                </c:pt>
                <c:pt idx="20">
                  <c:v>0.43445478806389787</c:v>
                </c:pt>
                <c:pt idx="21">
                  <c:v>0.44239047226210454</c:v>
                </c:pt>
                <c:pt idx="22">
                  <c:v>0.45144609536868724</c:v>
                </c:pt>
                <c:pt idx="23">
                  <c:v>0.46166613513505494</c:v>
                </c:pt>
                <c:pt idx="24">
                  <c:v>0.47307178606606592</c:v>
                </c:pt>
                <c:pt idx="25">
                  <c:v>0.485656476271488</c:v>
                </c:pt>
                <c:pt idx="26">
                  <c:v>0.49938197367711679</c:v>
                </c:pt>
                <c:pt idx="27">
                  <c:v>0.51417538668375251</c:v>
                </c:pt>
                <c:pt idx="28">
                  <c:v>0.52992735003331948</c:v>
                </c:pt>
                <c:pt idx="29">
                  <c:v>0.54649164880373935</c:v>
                </c:pt>
                <c:pt idx="30">
                  <c:v>0.56368647217015044</c:v>
                </c:pt>
                <c:pt idx="31">
                  <c:v>0.58129740605994495</c:v>
                </c:pt>
                <c:pt idx="32">
                  <c:v>0.59908217450137491</c:v>
                </c:pt>
                <c:pt idx="33">
                  <c:v>0.61677702971292603</c:v>
                </c:pt>
                <c:pt idx="34">
                  <c:v>0.63410457874179516</c:v>
                </c:pt>
                <c:pt idx="35">
                  <c:v>0.65078272857476549</c:v>
                </c:pt>
                <c:pt idx="36">
                  <c:v>0.66653434106264953</c:v>
                </c:pt>
                <c:pt idx="37">
                  <c:v>0.68109712191671856</c:v>
                </c:pt>
                <c:pt idx="38">
                  <c:v>0.69423323105879842</c:v>
                </c:pt>
                <c:pt idx="39">
                  <c:v>0.70573809903603801</c:v>
                </c:pt>
                <c:pt idx="40">
                  <c:v>0.71544796752985051</c:v>
                </c:pt>
                <c:pt idx="41">
                  <c:v>0.72324573962356231</c:v>
                </c:pt>
                <c:pt idx="42">
                  <c:v>0.72906482288406549</c:v>
                </c:pt>
                <c:pt idx="43">
                  <c:v>0.73289076828388267</c:v>
                </c:pt>
                <c:pt idx="44">
                  <c:v>0.73476064139495223</c:v>
                </c:pt>
                <c:pt idx="45">
                  <c:v>0.73476019885145849</c:v>
                </c:pt>
                <c:pt idx="46">
                  <c:v>0.73301907236289676</c:v>
                </c:pt>
                <c:pt idx="47">
                  <c:v>0.7297042749084891</c:v>
                </c:pt>
                <c:pt idx="48">
                  <c:v>0.72501243116561553</c:v>
                </c:pt>
                <c:pt idx="49">
                  <c:v>0.71916119106072895</c:v>
                </c:pt>
                <c:pt idx="50">
                  <c:v>0.71238030868792124</c:v>
                </c:pt>
                <c:pt idx="51">
                  <c:v>0.70490285872769443</c:v>
                </c:pt>
                <c:pt idx="52">
                  <c:v>0.69695702167831675</c:v>
                </c:pt>
                <c:pt idx="53">
                  <c:v>0.68875880278808799</c:v>
                </c:pt>
                <c:pt idx="54">
                  <c:v>0.6805059643828979</c:v>
                </c:pt>
                <c:pt idx="55">
                  <c:v>0.67237335514788554</c:v>
                </c:pt>
                <c:pt idx="56">
                  <c:v>0.66450972089178983</c:v>
                </c:pt>
                <c:pt idx="57">
                  <c:v>0.6570359869317709</c:v>
                </c:pt>
                <c:pt idx="58">
                  <c:v>0.65004491888999882</c:v>
                </c:pt>
                <c:pt idx="59">
                  <c:v>0.64360200121862221</c:v>
                </c:pt>
                <c:pt idx="60">
                  <c:v>0.6377473241660202</c:v>
                </c:pt>
                <c:pt idx="61">
                  <c:v>0.63249824128610421</c:v>
                </c:pt>
                <c:pt idx="62">
                  <c:v>0.62785255035283183</c:v>
                </c:pt>
                <c:pt idx="63">
                  <c:v>0.62379195859314218</c:v>
                </c:pt>
                <c:pt idx="64">
                  <c:v>0.62028561533570858</c:v>
                </c:pt>
                <c:pt idx="65">
                  <c:v>0.61729352768721912</c:v>
                </c:pt>
                <c:pt idx="66">
                  <c:v>0.61476971367227118</c:v>
                </c:pt>
                <c:pt idx="67">
                  <c:v>0.61266498855307061</c:v>
                </c:pt>
                <c:pt idx="68">
                  <c:v>0.61092932039782977</c:v>
                </c:pt>
                <c:pt idx="69">
                  <c:v>0.60951372768990941</c:v>
                </c:pt>
                <c:pt idx="70">
                  <c:v>0.60837172295150865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3-47DA-B1EF-99525113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26192"/>
        <c:axId val="1"/>
      </c:scatterChart>
      <c:valAx>
        <c:axId val="64372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z-Value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pcorr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3726192"/>
        <c:crosses val="autoZero"/>
        <c:crossBetween val="midCat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Nutzen Funktion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'MaxLikelihoodRatio (11.01.18)'!$B$273:$B$343</c:f>
              <c:numCache>
                <c:formatCode>0.000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-3.1999999999999997</c:v>
                </c:pt>
                <c:pt idx="4">
                  <c:v>-3.0999999999999996</c:v>
                </c:pt>
                <c:pt idx="5">
                  <c:v>-2.9999999999999996</c:v>
                </c:pt>
                <c:pt idx="6">
                  <c:v>-2.8999999999999995</c:v>
                </c:pt>
                <c:pt idx="7">
                  <c:v>-2.7999999999999994</c:v>
                </c:pt>
                <c:pt idx="8">
                  <c:v>-2.6999999999999993</c:v>
                </c:pt>
                <c:pt idx="9">
                  <c:v>-2.5999999999999992</c:v>
                </c:pt>
                <c:pt idx="10">
                  <c:v>-2.4999999999999991</c:v>
                </c:pt>
                <c:pt idx="11">
                  <c:v>-2.399999999999999</c:v>
                </c:pt>
                <c:pt idx="12">
                  <c:v>-2.2999999999999989</c:v>
                </c:pt>
                <c:pt idx="13">
                  <c:v>-2.1999999999999988</c:v>
                </c:pt>
                <c:pt idx="14">
                  <c:v>-2.0999999999999988</c:v>
                </c:pt>
                <c:pt idx="15">
                  <c:v>-1.9999999999999987</c:v>
                </c:pt>
                <c:pt idx="16">
                  <c:v>-1.8999999999999986</c:v>
                </c:pt>
                <c:pt idx="17">
                  <c:v>-1.7999999999999985</c:v>
                </c:pt>
                <c:pt idx="18">
                  <c:v>-1.6999999999999984</c:v>
                </c:pt>
                <c:pt idx="19">
                  <c:v>-1.5999999999999983</c:v>
                </c:pt>
                <c:pt idx="20">
                  <c:v>-1.4999999999999982</c:v>
                </c:pt>
                <c:pt idx="21">
                  <c:v>-1.3999999999999981</c:v>
                </c:pt>
                <c:pt idx="22">
                  <c:v>-1.299999999999998</c:v>
                </c:pt>
                <c:pt idx="23">
                  <c:v>-1.199999999999998</c:v>
                </c:pt>
                <c:pt idx="24">
                  <c:v>-1.0999999999999979</c:v>
                </c:pt>
                <c:pt idx="25">
                  <c:v>-0.99999999999999789</c:v>
                </c:pt>
                <c:pt idx="26">
                  <c:v>-0.89999999999999791</c:v>
                </c:pt>
                <c:pt idx="27">
                  <c:v>-0.79999999999999793</c:v>
                </c:pt>
                <c:pt idx="28">
                  <c:v>-0.69999999999999796</c:v>
                </c:pt>
                <c:pt idx="29">
                  <c:v>-0.59999999999999798</c:v>
                </c:pt>
                <c:pt idx="30">
                  <c:v>-0.499999999999998</c:v>
                </c:pt>
                <c:pt idx="31">
                  <c:v>-0.39999999999999802</c:v>
                </c:pt>
                <c:pt idx="32">
                  <c:v>-0.29999999999999805</c:v>
                </c:pt>
                <c:pt idx="33">
                  <c:v>-0.19999999999999804</c:v>
                </c:pt>
                <c:pt idx="34">
                  <c:v>-9.9999999999998035E-2</c:v>
                </c:pt>
                <c:pt idx="35">
                  <c:v>1.9706458687096529E-15</c:v>
                </c:pt>
                <c:pt idx="36">
                  <c:v>0.10000000000000198</c:v>
                </c:pt>
                <c:pt idx="37">
                  <c:v>0.20000000000000198</c:v>
                </c:pt>
                <c:pt idx="38">
                  <c:v>0.30000000000000199</c:v>
                </c:pt>
                <c:pt idx="39">
                  <c:v>0.40000000000000202</c:v>
                </c:pt>
                <c:pt idx="40">
                  <c:v>0.500000000000002</c:v>
                </c:pt>
                <c:pt idx="41">
                  <c:v>0.60000000000000198</c:v>
                </c:pt>
                <c:pt idx="42">
                  <c:v>0.70000000000000195</c:v>
                </c:pt>
                <c:pt idx="43">
                  <c:v>0.80000000000000193</c:v>
                </c:pt>
                <c:pt idx="44">
                  <c:v>0.90000000000000191</c:v>
                </c:pt>
                <c:pt idx="45">
                  <c:v>1.000000000000002</c:v>
                </c:pt>
                <c:pt idx="46">
                  <c:v>1.1000000000000021</c:v>
                </c:pt>
                <c:pt idx="47">
                  <c:v>1.2000000000000022</c:v>
                </c:pt>
                <c:pt idx="48">
                  <c:v>1.3000000000000023</c:v>
                </c:pt>
                <c:pt idx="49">
                  <c:v>1.4000000000000024</c:v>
                </c:pt>
                <c:pt idx="50">
                  <c:v>1.5000000000000024</c:v>
                </c:pt>
                <c:pt idx="51">
                  <c:v>1.6000000000000025</c:v>
                </c:pt>
                <c:pt idx="52">
                  <c:v>1.7000000000000026</c:v>
                </c:pt>
                <c:pt idx="53">
                  <c:v>1.8000000000000027</c:v>
                </c:pt>
                <c:pt idx="54">
                  <c:v>1.9000000000000028</c:v>
                </c:pt>
                <c:pt idx="55">
                  <c:v>2.0000000000000027</c:v>
                </c:pt>
                <c:pt idx="56">
                  <c:v>2.1000000000000028</c:v>
                </c:pt>
                <c:pt idx="57">
                  <c:v>2.2000000000000028</c:v>
                </c:pt>
                <c:pt idx="58">
                  <c:v>2.3000000000000029</c:v>
                </c:pt>
                <c:pt idx="59">
                  <c:v>2.400000000000003</c:v>
                </c:pt>
                <c:pt idx="60">
                  <c:v>2.5000000000000031</c:v>
                </c:pt>
                <c:pt idx="61">
                  <c:v>2.6000000000000032</c:v>
                </c:pt>
                <c:pt idx="62">
                  <c:v>2.7000000000000033</c:v>
                </c:pt>
                <c:pt idx="63">
                  <c:v>2.8000000000000034</c:v>
                </c:pt>
                <c:pt idx="64">
                  <c:v>2.9000000000000035</c:v>
                </c:pt>
                <c:pt idx="65">
                  <c:v>3.0000000000000036</c:v>
                </c:pt>
                <c:pt idx="66">
                  <c:v>3.1000000000000036</c:v>
                </c:pt>
                <c:pt idx="67">
                  <c:v>3.2000000000000037</c:v>
                </c:pt>
                <c:pt idx="68">
                  <c:v>3.3000000000000038</c:v>
                </c:pt>
                <c:pt idx="69">
                  <c:v>3.4000000000000039</c:v>
                </c:pt>
                <c:pt idx="70">
                  <c:v>3.500000000000004</c:v>
                </c:pt>
              </c:numCache>
            </c:numRef>
          </c:xVal>
          <c:yVal>
            <c:numRef>
              <c:f>'MaxLikelihoodRatio (11.01.18)'!$C$273:$C$343</c:f>
              <c:numCache>
                <c:formatCode>#,##0.00\ "€"</c:formatCode>
                <c:ptCount val="71"/>
                <c:pt idx="0">
                  <c:v>-1834.9800021584135</c:v>
                </c:pt>
                <c:pt idx="1">
                  <c:v>-1834.6034712903809</c:v>
                </c:pt>
                <c:pt idx="2">
                  <c:v>-1834.0749229024932</c:v>
                </c:pt>
                <c:pt idx="3">
                  <c:v>-1833.3404129550415</c:v>
                </c:pt>
                <c:pt idx="4">
                  <c:v>-1832.3299152476218</c:v>
                </c:pt>
                <c:pt idx="5">
                  <c:v>-1830.9536785160853</c:v>
                </c:pt>
                <c:pt idx="6">
                  <c:v>-1829.0981570985514</c:v>
                </c:pt>
                <c:pt idx="7">
                  <c:v>-1826.621601970583</c:v>
                </c:pt>
                <c:pt idx="8">
                  <c:v>-1823.3494560529691</c:v>
                </c:pt>
                <c:pt idx="9">
                  <c:v>-1819.0697638462798</c:v>
                </c:pt>
                <c:pt idx="10">
                  <c:v>-1813.5288777169449</c:v>
                </c:pt>
                <c:pt idx="11">
                  <c:v>-1806.4278169578902</c:v>
                </c:pt>
                <c:pt idx="12">
                  <c:v>-1797.419704767738</c:v>
                </c:pt>
                <c:pt idx="13">
                  <c:v>-1786.1087646666076</c:v>
                </c:pt>
                <c:pt idx="14">
                  <c:v>-1772.0513925482367</c:v>
                </c:pt>
                <c:pt idx="15">
                  <c:v>-1754.7598239900976</c:v>
                </c:pt>
                <c:pt idx="16">
                  <c:v>-1733.7088794271892</c:v>
                </c:pt>
                <c:pt idx="17">
                  <c:v>-1708.3461846763632</c:v>
                </c:pt>
                <c:pt idx="18">
                  <c:v>-1678.1061261725254</c:v>
                </c:pt>
                <c:pt idx="19">
                  <c:v>-1642.4276082465217</c:v>
                </c:pt>
                <c:pt idx="20">
                  <c:v>-1600.7754380179915</c:v>
                </c:pt>
                <c:pt idx="21">
                  <c:v>-1552.6648819884656</c:v>
                </c:pt>
                <c:pt idx="22">
                  <c:v>-1497.6886332204861</c:v>
                </c:pt>
                <c:pt idx="23">
                  <c:v>-1435.5451206832442</c:v>
                </c:pt>
                <c:pt idx="24">
                  <c:v>-1366.0668089483486</c:v>
                </c:pt>
                <c:pt idx="25">
                  <c:v>-1289.2469054451865</c:v>
                </c:pt>
                <c:pt idx="26">
                  <c:v>-1205.2627424122697</c:v>
                </c:pt>
                <c:pt idx="27">
                  <c:v>-1114.4940569897803</c:v>
                </c:pt>
                <c:pt idx="28">
                  <c:v>-1017.5344749821418</c:v>
                </c:pt>
                <c:pt idx="29">
                  <c:v>-915.19472211745233</c:v>
                </c:pt>
                <c:pt idx="30">
                  <c:v>-808.49644036712107</c:v>
                </c:pt>
                <c:pt idx="31">
                  <c:v>-698.6559627632314</c:v>
                </c:pt>
                <c:pt idx="32">
                  <c:v>-587.0579722491334</c:v>
                </c:pt>
                <c:pt idx="33">
                  <c:v>-475.2196011709467</c:v>
                </c:pt>
                <c:pt idx="34">
                  <c:v>-364.74617210773488</c:v>
                </c:pt>
                <c:pt idx="35">
                  <c:v>-257.28038697691795</c:v>
                </c:pt>
                <c:pt idx="36">
                  <c:v>-154.44728857153314</c:v>
                </c:pt>
                <c:pt idx="37">
                  <c:v>-57.797700382322091</c:v>
                </c:pt>
                <c:pt idx="38">
                  <c:v>31.246940348508701</c:v>
                </c:pt>
                <c:pt idx="39">
                  <c:v>111.44542854165525</c:v>
                </c:pt>
                <c:pt idx="40">
                  <c:v>181.78057916563432</c:v>
                </c:pt>
                <c:pt idx="41">
                  <c:v>241.49360455246944</c:v>
                </c:pt>
                <c:pt idx="42">
                  <c:v>290.1072798675749</c:v>
                </c:pt>
                <c:pt idx="43">
                  <c:v>327.43677212646497</c:v>
                </c:pt>
                <c:pt idx="44">
                  <c:v>353.5877580711238</c:v>
                </c:pt>
                <c:pt idx="45">
                  <c:v>368.94222135842688</c:v>
                </c:pt>
                <c:pt idx="46">
                  <c:v>374.13304139167099</c:v>
                </c:pt>
                <c:pt idx="47">
                  <c:v>370.00911119947307</c:v>
                </c:pt>
                <c:pt idx="48">
                  <c:v>357.5932061905076</c:v>
                </c:pt>
                <c:pt idx="49">
                  <c:v>338.03513890114164</c:v>
                </c:pt>
                <c:pt idx="50">
                  <c:v>312.56286207559543</c:v>
                </c:pt>
                <c:pt idx="51">
                  <c:v>282.43412477530717</c:v>
                </c:pt>
                <c:pt idx="52">
                  <c:v>248.89106000768871</c:v>
                </c:pt>
                <c:pt idx="53">
                  <c:v>213.11971656620921</c:v>
                </c:pt>
                <c:pt idx="54">
                  <c:v>176.21608053317499</c:v>
                </c:pt>
                <c:pt idx="55">
                  <c:v>139.15960642746933</c:v>
                </c:pt>
                <c:pt idx="56">
                  <c:v>102.79473829784354</c:v>
                </c:pt>
                <c:pt idx="57">
                  <c:v>67.820388027560625</c:v>
                </c:pt>
                <c:pt idx="58">
                  <c:v>34.78688615330941</c:v>
                </c:pt>
                <c:pt idx="59">
                  <c:v>4.0995552730195186</c:v>
                </c:pt>
                <c:pt idx="60">
                  <c:v>-23.972206717569293</c:v>
                </c:pt>
                <c:pt idx="61">
                  <c:v>-49.281601255457758</c:v>
                </c:pt>
                <c:pt idx="62">
                  <c:v>-71.788180161559012</c:v>
                </c:pt>
                <c:pt idx="63">
                  <c:v>-91.539949995219217</c:v>
                </c:pt>
                <c:pt idx="64">
                  <c:v>-108.65498957019679</c:v>
                </c:pt>
                <c:pt idx="65">
                  <c:v>-123.30356858302378</c:v>
                </c:pt>
                <c:pt idx="66">
                  <c:v>-135.69154999887292</c:v>
                </c:pt>
                <c:pt idx="67">
                  <c:v>-146.04564061502856</c:v>
                </c:pt>
                <c:pt idx="68">
                  <c:v>-154.60084096259084</c:v>
                </c:pt>
                <c:pt idx="69">
                  <c:v>-161.59025162895887</c:v>
                </c:pt>
                <c:pt idx="70">
                  <c:v>-167.23722819321699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D7-48C9-9D45-C8A19A89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27504"/>
        <c:axId val="1"/>
      </c:scatterChart>
      <c:valAx>
        <c:axId val="64372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z-Value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3727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Blindmücken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'Diskriminanzan. 1 (19.01.18)'!$C$46:$C$55</c:f>
              <c:numCache>
                <c:formatCode>0.000</c:formatCode>
                <c:ptCount val="10"/>
                <c:pt idx="0">
                  <c:v>2.8927842707019129E-2</c:v>
                </c:pt>
                <c:pt idx="1">
                  <c:v>0.72319606767546218</c:v>
                </c:pt>
                <c:pt idx="2">
                  <c:v>-0.78105175308949792</c:v>
                </c:pt>
                <c:pt idx="3">
                  <c:v>0.26035058436316638</c:v>
                </c:pt>
                <c:pt idx="4">
                  <c:v>0.49177332601931428</c:v>
                </c:pt>
                <c:pt idx="5">
                  <c:v>1.6488870343000526</c:v>
                </c:pt>
                <c:pt idx="6">
                  <c:v>1.1860415509877573</c:v>
                </c:pt>
                <c:pt idx="7">
                  <c:v>0.49177332601931428</c:v>
                </c:pt>
                <c:pt idx="8">
                  <c:v>0.49177332601931428</c:v>
                </c:pt>
                <c:pt idx="9">
                  <c:v>1.4174642926439052</c:v>
                </c:pt>
              </c:numCache>
            </c:numRef>
          </c:xVal>
          <c:yVal>
            <c:numRef>
              <c:f>'Diskriminanzan. 1 (19.01.18)'!$D$46:$D$55</c:f>
              <c:numCache>
                <c:formatCode>0.000</c:formatCode>
                <c:ptCount val="10"/>
                <c:pt idx="0">
                  <c:v>-1.6881807753663034</c:v>
                </c:pt>
                <c:pt idx="1">
                  <c:v>-1.3015744909312723</c:v>
                </c:pt>
                <c:pt idx="2">
                  <c:v>-1.1727057294529284</c:v>
                </c:pt>
                <c:pt idx="3">
                  <c:v>-1.0438369679745845</c:v>
                </c:pt>
                <c:pt idx="4">
                  <c:v>-0.52836192206120935</c:v>
                </c:pt>
                <c:pt idx="5">
                  <c:v>-0.52836192206120935</c:v>
                </c:pt>
                <c:pt idx="6">
                  <c:v>-0.39949316058286544</c:v>
                </c:pt>
                <c:pt idx="7">
                  <c:v>-1.2886876147833678E-2</c:v>
                </c:pt>
                <c:pt idx="8">
                  <c:v>-0.72166506427872457</c:v>
                </c:pt>
                <c:pt idx="9">
                  <c:v>1.146931977157261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3-4E45-9968-DC7ADBC62672}"/>
            </c:ext>
          </c:extLst>
        </c:ser>
        <c:ser>
          <c:idx val="1"/>
          <c:order val="1"/>
          <c:tx>
            <c:v>Stechmücken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'Diskriminanzan. 1 (19.01.18)'!$C$56:$C$65</c:f>
              <c:numCache>
                <c:formatCode>0.000</c:formatCode>
                <c:ptCount val="10"/>
                <c:pt idx="0">
                  <c:v>-1.3596086072298674</c:v>
                </c:pt>
                <c:pt idx="1">
                  <c:v>-1.5910313488860148</c:v>
                </c:pt>
                <c:pt idx="2">
                  <c:v>-1.8224540905421629</c:v>
                </c:pt>
                <c:pt idx="3">
                  <c:v>-0.43391764060527666</c:v>
                </c:pt>
                <c:pt idx="4">
                  <c:v>-0.89676312391757185</c:v>
                </c:pt>
                <c:pt idx="5">
                  <c:v>-0.66534038226142389</c:v>
                </c:pt>
                <c:pt idx="6">
                  <c:v>0.60748469684738826</c:v>
                </c:pt>
                <c:pt idx="7">
                  <c:v>1.1860415509877573</c:v>
                </c:pt>
                <c:pt idx="8">
                  <c:v>2.8927842707019129E-2</c:v>
                </c:pt>
                <c:pt idx="9">
                  <c:v>-1.0124744947456459</c:v>
                </c:pt>
              </c:numCache>
            </c:numRef>
          </c:xVal>
          <c:yVal>
            <c:numRef>
              <c:f>'Diskriminanzan. 1 (19.01.18)'!$D$56:$D$65</c:f>
              <c:numCache>
                <c:formatCode>0.000</c:formatCode>
                <c:ptCount val="10"/>
                <c:pt idx="0">
                  <c:v>-0.59279630280038065</c:v>
                </c:pt>
                <c:pt idx="1">
                  <c:v>-0.27062439910452152</c:v>
                </c:pt>
                <c:pt idx="2">
                  <c:v>0.37371940828719741</c:v>
                </c:pt>
                <c:pt idx="3">
                  <c:v>0.50258816976554133</c:v>
                </c:pt>
                <c:pt idx="4">
                  <c:v>0.63145693124388524</c:v>
                </c:pt>
                <c:pt idx="5">
                  <c:v>0.63145693124388524</c:v>
                </c:pt>
                <c:pt idx="6">
                  <c:v>1.920144546027323</c:v>
                </c:pt>
                <c:pt idx="7">
                  <c:v>1.5335382615922912</c:v>
                </c:pt>
                <c:pt idx="8">
                  <c:v>1.6624070230706351</c:v>
                </c:pt>
                <c:pt idx="9">
                  <c:v>-0.1417556376261776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3-4E45-9968-DC7ADBC6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252608"/>
        <c:axId val="1"/>
      </c:scatterChart>
      <c:valAx>
        <c:axId val="639252608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252608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Blindmücke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'Diskriminanzan. 1 (19.01.18)'!$C$102:$C$111</c:f>
              <c:numCache>
                <c:formatCode>0.000</c:formatCode>
                <c:ptCount val="10"/>
                <c:pt idx="0">
                  <c:v>1.2141791478735078</c:v>
                </c:pt>
                <c:pt idx="1">
                  <c:v>1.4317289923376957</c:v>
                </c:pt>
                <c:pt idx="2">
                  <c:v>0.27694118256525735</c:v>
                </c:pt>
                <c:pt idx="3">
                  <c:v>0.92219986219710892</c:v>
                </c:pt>
                <c:pt idx="4">
                  <c:v>0.7213445516451592</c:v>
                </c:pt>
                <c:pt idx="5">
                  <c:v>1.5395475013743818</c:v>
                </c:pt>
                <c:pt idx="6">
                  <c:v>1.1211423463582442</c:v>
                </c:pt>
                <c:pt idx="7">
                  <c:v>0.35684865114736436</c:v>
                </c:pt>
                <c:pt idx="8">
                  <c:v>0.85803051433183175</c:v>
                </c:pt>
                <c:pt idx="9">
                  <c:v>0.19129523481070465</c:v>
                </c:pt>
              </c:numCache>
            </c:numRef>
          </c:xVal>
          <c:yVal>
            <c:numRef>
              <c:f>'Diskriminanzan. 1 (19.01.18)'!$D$102:$D$111</c:f>
              <c:numCache>
                <c:formatCode>0.000</c:formatCode>
                <c:ptCount val="10"/>
                <c:pt idx="0">
                  <c:v>-1.1732690003870458</c:v>
                </c:pt>
                <c:pt idx="1">
                  <c:v>-0.40897530517616654</c:v>
                </c:pt>
                <c:pt idx="2">
                  <c:v>-1.3815151646997075</c:v>
                </c:pt>
                <c:pt idx="3">
                  <c:v>-0.55400853481895851</c:v>
                </c:pt>
                <c:pt idx="4">
                  <c:v>-2.5872044375319314E-2</c:v>
                </c:pt>
                <c:pt idx="5">
                  <c:v>0.79233090535390316</c:v>
                </c:pt>
                <c:pt idx="6">
                  <c:v>0.55617370058666293</c:v>
                </c:pt>
                <c:pt idx="7">
                  <c:v>0.33862385612247559</c:v>
                </c:pt>
                <c:pt idx="8">
                  <c:v>-0.16255800706199192</c:v>
                </c:pt>
                <c:pt idx="9">
                  <c:v>1.8133019920258917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F-49BE-9F46-DBBA4A7C6A29}"/>
            </c:ext>
          </c:extLst>
        </c:ser>
        <c:ser>
          <c:idx val="1"/>
          <c:order val="1"/>
          <c:tx>
            <c:v>Stechmücke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'Diskriminanzan. 1 (19.01.18)'!$C$112:$C$121</c:f>
              <c:numCache>
                <c:formatCode>0.000</c:formatCode>
                <c:ptCount val="10"/>
                <c:pt idx="0">
                  <c:v>-0.54221818035937352</c:v>
                </c:pt>
                <c:pt idx="1">
                  <c:v>-0.93366870811633917</c:v>
                </c:pt>
                <c:pt idx="2">
                  <c:v>-1.5529291736844271</c:v>
                </c:pt>
                <c:pt idx="3">
                  <c:v>-0.66220960913380833</c:v>
                </c:pt>
                <c:pt idx="4">
                  <c:v>-1.0806147641499459</c:v>
                </c:pt>
                <c:pt idx="5">
                  <c:v>-0.91697417420410132</c:v>
                </c:pt>
                <c:pt idx="6">
                  <c:v>-0.9281906807464424</c:v>
                </c:pt>
                <c:pt idx="7">
                  <c:v>-0.24571728050848507</c:v>
                </c:pt>
                <c:pt idx="8">
                  <c:v>-1.1550442053621564</c:v>
                </c:pt>
                <c:pt idx="9">
                  <c:v>-0.61569120837617664</c:v>
                </c:pt>
              </c:numCache>
            </c:numRef>
          </c:xVal>
          <c:yVal>
            <c:numRef>
              <c:f>'Diskriminanzan. 1 (19.01.18)'!$D$112:$D$121</c:f>
              <c:numCache>
                <c:formatCode>0.000</c:formatCode>
                <c:ptCount val="10"/>
                <c:pt idx="0">
                  <c:v>-1.3805587515042996</c:v>
                </c:pt>
                <c:pt idx="1">
                  <c:v>-1.3163894036390227</c:v>
                </c:pt>
                <c:pt idx="2">
                  <c:v>-1.0244101179626242</c:v>
                </c:pt>
                <c:pt idx="3">
                  <c:v>4.8557396836891753E-2</c:v>
                </c:pt>
                <c:pt idx="4">
                  <c:v>-0.18759980793034842</c:v>
                </c:pt>
                <c:pt idx="5">
                  <c:v>-2.3959217984503733E-2</c:v>
                </c:pt>
                <c:pt idx="6">
                  <c:v>1.7873037779621272</c:v>
                </c:pt>
                <c:pt idx="7">
                  <c:v>1.9230333274533922</c:v>
                </c:pt>
                <c:pt idx="8">
                  <c:v>1.1959543528486185</c:v>
                </c:pt>
                <c:pt idx="9">
                  <c:v>-0.81616395364996275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F-49BE-9F46-DBBA4A7C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367272"/>
        <c:axId val="1"/>
      </c:scatterChart>
      <c:valAx>
        <c:axId val="642367272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66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367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Blindmücke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'Diskriminanzan. 1 (19.01.18)'!$C$221:$C$230</c:f>
              <c:numCache>
                <c:formatCode>0.000</c:formatCode>
                <c:ptCount val="10"/>
                <c:pt idx="0">
                  <c:v>2.8566544283451796</c:v>
                </c:pt>
                <c:pt idx="1">
                  <c:v>3.3684938283734622</c:v>
                </c:pt>
                <c:pt idx="2">
                  <c:v>0.65157209869050758</c:v>
                </c:pt>
                <c:pt idx="3">
                  <c:v>2.1697015014452679</c:v>
                </c:pt>
                <c:pt idx="4">
                  <c:v>1.6971400896060251</c:v>
                </c:pt>
                <c:pt idx="5">
                  <c:v>3.6221633316231685</c:v>
                </c:pt>
                <c:pt idx="6">
                  <c:v>2.6377625197556429</c:v>
                </c:pt>
                <c:pt idx="7">
                  <c:v>0.83957402936335246</c:v>
                </c:pt>
                <c:pt idx="8">
                  <c:v>2.0187273621970263</c:v>
                </c:pt>
                <c:pt idx="9">
                  <c:v>0.45006898743105439</c:v>
                </c:pt>
              </c:numCache>
            </c:numRef>
          </c:xVal>
          <c:yVal>
            <c:numRef>
              <c:f>'Diskriminanzan. 1 (19.01.18)'!$B$292:$B$301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1-429D-AD46-0B23CB5BD2FB}"/>
            </c:ext>
          </c:extLst>
        </c:ser>
        <c:ser>
          <c:idx val="1"/>
          <c:order val="1"/>
          <c:tx>
            <c:v>Stechmücke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'Diskriminanzan. 1 (19.01.18)'!$D$221:$D$230</c:f>
              <c:numCache>
                <c:formatCode>0.000</c:formatCode>
                <c:ptCount val="10"/>
                <c:pt idx="0">
                  <c:v>-1.2757013400910719</c:v>
                </c:pt>
                <c:pt idx="1">
                  <c:v>-2.1966847761461694</c:v>
                </c:pt>
                <c:pt idx="2">
                  <c:v>-3.6536469998529384</c:v>
                </c:pt>
                <c:pt idx="3">
                  <c:v>-1.5580106244930345</c:v>
                </c:pt>
                <c:pt idx="4">
                  <c:v>-2.5424114363605597</c:v>
                </c:pt>
                <c:pt idx="5">
                  <c:v>-2.1574067879571306</c:v>
                </c:pt>
                <c:pt idx="6">
                  <c:v>-2.1837963723449523</c:v>
                </c:pt>
                <c:pt idx="7">
                  <c:v>-0.57811020615437658</c:v>
                </c:pt>
                <c:pt idx="8">
                  <c:v>-2.7175249632321874</c:v>
                </c:pt>
                <c:pt idx="9">
                  <c:v>-1.4485646701982664</c:v>
                </c:pt>
              </c:numCache>
            </c:numRef>
          </c:xVal>
          <c:yVal>
            <c:numRef>
              <c:f>'Diskriminanzan. 1 (19.01.18)'!$E$292:$E$301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1-429D-AD46-0B23CB5BD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368584"/>
        <c:axId val="1"/>
      </c:scatterChart>
      <c:valAx>
        <c:axId val="642368584"/>
        <c:scaling>
          <c:orientation val="minMax"/>
          <c:max val="4"/>
          <c:min val="-4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3685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293</xdr:row>
      <xdr:rowOff>9525</xdr:rowOff>
    </xdr:from>
    <xdr:to>
      <xdr:col>7</xdr:col>
      <xdr:colOff>733425</xdr:colOff>
      <xdr:row>299</xdr:row>
      <xdr:rowOff>152400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52625" y="46434375"/>
          <a:ext cx="4476750" cy="1114425"/>
        </a:xfrm>
        <a:prstGeom prst="rect">
          <a:avLst/>
        </a:prstGeom>
        <a:solidFill>
          <a:srgbClr val="CEF8FE"/>
        </a:solidFill>
        <a:ln>
          <a:solidFill>
            <a:srgbClr val="CEF8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0</xdr:colOff>
      <xdr:row>326</xdr:row>
      <xdr:rowOff>1</xdr:rowOff>
    </xdr:from>
    <xdr:to>
      <xdr:col>7</xdr:col>
      <xdr:colOff>752475</xdr:colOff>
      <xdr:row>337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33575" y="51768376"/>
          <a:ext cx="4514850" cy="1781174"/>
        </a:xfrm>
        <a:prstGeom prst="rect">
          <a:avLst/>
        </a:prstGeom>
        <a:solidFill>
          <a:srgbClr val="CEF8FE"/>
        </a:solidFill>
        <a:ln>
          <a:solidFill>
            <a:srgbClr val="CEF8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152400</xdr:rowOff>
        </xdr:from>
        <xdr:to>
          <xdr:col>8</xdr:col>
          <xdr:colOff>19050</xdr:colOff>
          <xdr:row>134</xdr:row>
          <xdr:rowOff>142875</xdr:rowOff>
        </xdr:to>
        <xdr:sp macro="" textlink="">
          <xdr:nvSpPr>
            <xdr:cNvPr id="104490" name="Object 1" hidden="1">
              <a:extLst>
                <a:ext uri="{63B3BB69-23CF-44E3-9099-C40C66FF867C}">
                  <a14:compatExt spid="_x0000_s104490"/>
                </a:ext>
                <a:ext uri="{FF2B5EF4-FFF2-40B4-BE49-F238E27FC236}">
                  <a16:creationId xmlns:a16="http://schemas.microsoft.com/office/drawing/2014/main" id="{00000000-0008-0000-0100-00002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152400</xdr:rowOff>
        </xdr:from>
        <xdr:to>
          <xdr:col>8</xdr:col>
          <xdr:colOff>0</xdr:colOff>
          <xdr:row>167</xdr:row>
          <xdr:rowOff>0</xdr:rowOff>
        </xdr:to>
        <xdr:sp macro="" textlink="">
          <xdr:nvSpPr>
            <xdr:cNvPr id="104492" name="Object 2" hidden="1">
              <a:extLst>
                <a:ext uri="{63B3BB69-23CF-44E3-9099-C40C66FF867C}">
                  <a14:compatExt spid="_x0000_s104492"/>
                </a:ext>
                <a:ext uri="{FF2B5EF4-FFF2-40B4-BE49-F238E27FC236}">
                  <a16:creationId xmlns:a16="http://schemas.microsoft.com/office/drawing/2014/main" id="{00000000-0008-0000-0100-00002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638175</xdr:colOff>
      <xdr:row>173</xdr:row>
      <xdr:rowOff>76200</xdr:rowOff>
    </xdr:from>
    <xdr:to>
      <xdr:col>7</xdr:col>
      <xdr:colOff>238125</xdr:colOff>
      <xdr:row>180</xdr:row>
      <xdr:rowOff>28575</xdr:rowOff>
    </xdr:to>
    <xdr:pic>
      <xdr:nvPicPr>
        <xdr:cNvPr id="1327686" name="Grafik 8">
          <a:extLst>
            <a:ext uri="{FF2B5EF4-FFF2-40B4-BE49-F238E27FC236}">
              <a16:creationId xmlns:a16="http://schemas.microsoft.com/office/drawing/2014/main" id="{00000000-0008-0000-0100-00004642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432125"/>
          <a:ext cx="33623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208</xdr:row>
      <xdr:rowOff>114300</xdr:rowOff>
    </xdr:from>
    <xdr:to>
      <xdr:col>6</xdr:col>
      <xdr:colOff>647700</xdr:colOff>
      <xdr:row>217</xdr:row>
      <xdr:rowOff>66675</xdr:rowOff>
    </xdr:to>
    <xdr:pic>
      <xdr:nvPicPr>
        <xdr:cNvPr id="1327687" name="Grafik 3">
          <a:extLst>
            <a:ext uri="{FF2B5EF4-FFF2-40B4-BE49-F238E27FC236}">
              <a16:creationId xmlns:a16="http://schemas.microsoft.com/office/drawing/2014/main" id="{00000000-0008-0000-0100-00004742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4137600"/>
          <a:ext cx="28003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219</xdr:row>
      <xdr:rowOff>152400</xdr:rowOff>
    </xdr:from>
    <xdr:to>
      <xdr:col>6</xdr:col>
      <xdr:colOff>209550</xdr:colOff>
      <xdr:row>227</xdr:row>
      <xdr:rowOff>123825</xdr:rowOff>
    </xdr:to>
    <xdr:pic>
      <xdr:nvPicPr>
        <xdr:cNvPr id="1327688" name="Grafik 4">
          <a:extLst>
            <a:ext uri="{FF2B5EF4-FFF2-40B4-BE49-F238E27FC236}">
              <a16:creationId xmlns:a16="http://schemas.microsoft.com/office/drawing/2014/main" id="{00000000-0008-0000-0100-00004842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5956875"/>
          <a:ext cx="1885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42</xdr:row>
      <xdr:rowOff>69849</xdr:rowOff>
    </xdr:from>
    <xdr:to>
      <xdr:col>8</xdr:col>
      <xdr:colOff>567267</xdr:colOff>
      <xdr:row>45</xdr:row>
      <xdr:rowOff>114300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7825" y="7575549"/>
          <a:ext cx="306917" cy="530226"/>
        </a:xfrm>
        <a:prstGeom prst="righ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11</xdr:col>
      <xdr:colOff>295275</xdr:colOff>
      <xdr:row>39</xdr:row>
      <xdr:rowOff>104775</xdr:rowOff>
    </xdr:from>
    <xdr:to>
      <xdr:col>14</xdr:col>
      <xdr:colOff>333375</xdr:colOff>
      <xdr:row>50</xdr:row>
      <xdr:rowOff>38100</xdr:rowOff>
    </xdr:to>
    <xdr:pic>
      <xdr:nvPicPr>
        <xdr:cNvPr id="122476" name="Grafik 2">
          <a:extLst>
            <a:ext uri="{FF2B5EF4-FFF2-40B4-BE49-F238E27FC236}">
              <a16:creationId xmlns:a16="http://schemas.microsoft.com/office/drawing/2014/main" id="{00000000-0008-0000-0200-00006CD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924675"/>
          <a:ext cx="23241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35</xdr:row>
      <xdr:rowOff>0</xdr:rowOff>
    </xdr:from>
    <xdr:to>
      <xdr:col>11</xdr:col>
      <xdr:colOff>142875</xdr:colOff>
      <xdr:row>41</xdr:row>
      <xdr:rowOff>133350</xdr:rowOff>
    </xdr:to>
    <xdr:pic>
      <xdr:nvPicPr>
        <xdr:cNvPr id="123478" name="Grafik 1">
          <a:extLst>
            <a:ext uri="{FF2B5EF4-FFF2-40B4-BE49-F238E27FC236}">
              <a16:creationId xmlns:a16="http://schemas.microsoft.com/office/drawing/2014/main" id="{00000000-0008-0000-0300-000056E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905500"/>
          <a:ext cx="78295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57</xdr:row>
      <xdr:rowOff>152400</xdr:rowOff>
    </xdr:from>
    <xdr:to>
      <xdr:col>11</xdr:col>
      <xdr:colOff>514350</xdr:colOff>
      <xdr:row>70</xdr:row>
      <xdr:rowOff>57150</xdr:rowOff>
    </xdr:to>
    <xdr:pic>
      <xdr:nvPicPr>
        <xdr:cNvPr id="123479" name="Grafik 2">
          <a:extLst>
            <a:ext uri="{FF2B5EF4-FFF2-40B4-BE49-F238E27FC236}">
              <a16:creationId xmlns:a16="http://schemas.microsoft.com/office/drawing/2014/main" id="{00000000-0008-0000-0300-000057E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48825"/>
          <a:ext cx="35528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169</xdr:row>
      <xdr:rowOff>142875</xdr:rowOff>
    </xdr:from>
    <xdr:to>
      <xdr:col>11</xdr:col>
      <xdr:colOff>876300</xdr:colOff>
      <xdr:row>188</xdr:row>
      <xdr:rowOff>0</xdr:rowOff>
    </xdr:to>
    <xdr:graphicFrame macro="">
      <xdr:nvGraphicFramePr>
        <xdr:cNvPr id="1887694" name="Diagramm 1">
          <a:extLst>
            <a:ext uri="{FF2B5EF4-FFF2-40B4-BE49-F238E27FC236}">
              <a16:creationId xmlns:a16="http://schemas.microsoft.com/office/drawing/2014/main" id="{00000000-0008-0000-0800-0000CECD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338</xdr:row>
      <xdr:rowOff>0</xdr:rowOff>
    </xdr:from>
    <xdr:to>
      <xdr:col>11</xdr:col>
      <xdr:colOff>876300</xdr:colOff>
      <xdr:row>362</xdr:row>
      <xdr:rowOff>19050</xdr:rowOff>
    </xdr:to>
    <xdr:graphicFrame macro="">
      <xdr:nvGraphicFramePr>
        <xdr:cNvPr id="1887695" name="Diagramm 2">
          <a:extLst>
            <a:ext uri="{FF2B5EF4-FFF2-40B4-BE49-F238E27FC236}">
              <a16:creationId xmlns:a16="http://schemas.microsoft.com/office/drawing/2014/main" id="{00000000-0008-0000-0800-0000CFCD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104775</xdr:colOff>
      <xdr:row>421</xdr:row>
      <xdr:rowOff>57151</xdr:rowOff>
    </xdr:from>
    <xdr:ext cx="1552575" cy="5162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3486150" y="68256151"/>
              <a:ext cx="1552575" cy="516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 ±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−2+</m:t>
                            </m:r>
                            <m:sSubSup>
                              <m:sSubSup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  <m:sup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e>
                        </m:rad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 xmlns:a="http://schemas.openxmlformats.org/drawingml/2006/main">
                <a:ext uri="{FF2B5EF4-FFF2-40B4-BE49-F238E27FC236}">
                  <a16:creationId xmlns:a16="http://schemas.microsoft.com/office/drawing/2014/main" id="{5CEF39DB-5675-4EF6-8008-F609FD2A4AF6}"/>
                </a:ext>
              </a:extLst>
            </xdr:cNvPr>
            <xdr:cNvSpPr txBox="1"/>
          </xdr:nvSpPr>
          <xdr:spPr>
            <a:xfrm xmlns:a="http://schemas.openxmlformats.org/drawingml/2006/main">
              <a:off x="3486150" y="68256151"/>
              <a:ext cx="1552575" cy="51629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b="0" i="0">
                  <a:latin typeface="Cambria Math" panose="02040503050406030204" pitchFamily="18" charset="0"/>
                </a:rPr>
                <a:t>𝑟_0= ±  𝑡_0/√(𝑛−2+𝑡_0^2 )</a:t>
              </a:r>
              <a:endParaRPr lang="de-DE" sz="1100"/>
            </a:p>
          </xdr:txBody>
        </xdr:sp>
      </mc:Fallback>
    </mc:AlternateContent>
    <xdr:clientData/>
  </xdr:oneCellAnchor>
  <xdr:twoCellAnchor editAs="oneCell">
    <xdr:from>
      <xdr:col>1</xdr:col>
      <xdr:colOff>9525</xdr:colOff>
      <xdr:row>452</xdr:row>
      <xdr:rowOff>9525</xdr:rowOff>
    </xdr:from>
    <xdr:to>
      <xdr:col>8</xdr:col>
      <xdr:colOff>857250</xdr:colOff>
      <xdr:row>481</xdr:row>
      <xdr:rowOff>9525</xdr:rowOff>
    </xdr:to>
    <xdr:pic>
      <xdr:nvPicPr>
        <xdr:cNvPr id="1887697" name="Grafik 4">
          <a:extLst>
            <a:ext uri="{FF2B5EF4-FFF2-40B4-BE49-F238E27FC236}">
              <a16:creationId xmlns:a16="http://schemas.microsoft.com/office/drawing/2014/main" id="{00000000-0008-0000-0800-0000D1CD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3390125"/>
          <a:ext cx="6953250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508</xdr:row>
      <xdr:rowOff>0</xdr:rowOff>
    </xdr:from>
    <xdr:to>
      <xdr:col>9</xdr:col>
      <xdr:colOff>9525</xdr:colOff>
      <xdr:row>537</xdr:row>
      <xdr:rowOff>0</xdr:rowOff>
    </xdr:to>
    <xdr:pic>
      <xdr:nvPicPr>
        <xdr:cNvPr id="1887698" name="Grafik 5">
          <a:extLst>
            <a:ext uri="{FF2B5EF4-FFF2-40B4-BE49-F238E27FC236}">
              <a16:creationId xmlns:a16="http://schemas.microsoft.com/office/drawing/2014/main" id="{00000000-0008-0000-0800-0000D2CD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2448400"/>
          <a:ext cx="6981825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838200</xdr:colOff>
      <xdr:row>557</xdr:row>
      <xdr:rowOff>0</xdr:rowOff>
    </xdr:from>
    <xdr:to>
      <xdr:col>12</xdr:col>
      <xdr:colOff>9525</xdr:colOff>
      <xdr:row>571</xdr:row>
      <xdr:rowOff>9525</xdr:rowOff>
    </xdr:to>
    <xdr:graphicFrame macro="">
      <xdr:nvGraphicFramePr>
        <xdr:cNvPr id="1887699" name="Diagramm 2">
          <a:extLst>
            <a:ext uri="{FF2B5EF4-FFF2-40B4-BE49-F238E27FC236}">
              <a16:creationId xmlns:a16="http://schemas.microsoft.com/office/drawing/2014/main" id="{00000000-0008-0000-0800-0000D3CD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66674</xdr:colOff>
      <xdr:row>8</xdr:row>
      <xdr:rowOff>95249</xdr:rowOff>
    </xdr:from>
    <xdr:ext cx="3038475" cy="6572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 txBox="1"/>
          </xdr:nvSpPr>
          <xdr:spPr>
            <a:xfrm>
              <a:off x="6162674" y="4924424"/>
              <a:ext cx="3038475" cy="6572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groupChr>
                              <m:groupChrPr>
                                <m:chr m:val="→"/>
                                <m:pos m:val="top"/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</m:ctrlPr>
                              </m:groupChrPr>
                              <m:e>
                                <m:r>
                                  <m:rPr>
                                    <m:brk m:alnAt="1"/>
                                  </m:r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groupChr>
                            <m:r>
                              <a:rPr lang="de-DE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groupChr>
                              <m:groupChrPr>
                                <m:chr m:val="→"/>
                                <m:pos m:val="top"/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</m:ctrlPr>
                              </m:groupChrPr>
                              <m:e>
                                <m:r>
                                  <m:rPr>
                                    <m:brk m:alnAt="1"/>
                                  </m:r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  <m:t>µ</m:t>
                                </m:r>
                              </m:e>
                            </m:groupChr>
                          </m:e>
                        </m:d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600" b="0" i="1">
                        <a:latin typeface="Cambria Math" panose="02040503050406030204" pitchFamily="18" charset="0"/>
                      </a:rPr>
                      <m:t>𝐶𝑂</m:t>
                    </m:r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600" b="0" i="0">
                        <a:latin typeface="Cambria Math" panose="02040503050406030204" pitchFamily="18" charset="0"/>
                      </a:rPr>
                      <m:t>(</m:t>
                    </m:r>
                    <m:groupChr>
                      <m:groupChrPr>
                        <m:chr m:val="→"/>
                        <m:pos m:val="top"/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groupChrPr>
                      <m:e>
                        <m:r>
                          <m:rPr>
                            <m:brk m:alnAt="1"/>
                          </m:rPr>
                          <a:rPr lang="de-DE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groupChr>
                    <m:r>
                      <a:rPr lang="de-DE" sz="1600" b="0" i="1">
                        <a:latin typeface="Cambria Math" panose="02040503050406030204" pitchFamily="18" charset="0"/>
                      </a:rPr>
                      <m:t>−</m:t>
                    </m:r>
                    <m:groupChr>
                      <m:groupChrPr>
                        <m:chr m:val="→"/>
                        <m:pos m:val="top"/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groupChrPr>
                      <m:e>
                        <m:r>
                          <m:rPr>
                            <m:brk m:alnAt="1"/>
                          </m:rPr>
                          <a:rPr lang="de-DE" sz="1600" b="0" i="1">
                            <a:latin typeface="Cambria Math" panose="02040503050406030204" pitchFamily="18" charset="0"/>
                          </a:rPr>
                          <m:t>µ</m:t>
                        </m:r>
                      </m:e>
                    </m:groupChr>
                    <m:r>
                      <a:rPr lang="de-DE" sz="16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2" name="Textfeld 1">
              <a:extLst xmlns:a="http://schemas.openxmlformats.org/drawingml/2006/main">
                <a:ext uri="{FF2B5EF4-FFF2-40B4-BE49-F238E27FC236}">
                  <a16:creationId xmlns:a16="http://schemas.microsoft.com/office/drawing/2014/main" id="{FB1C552D-D790-4653-BCE3-82F1799BF7AF}"/>
                </a:ext>
              </a:extLst>
            </xdr:cNvPr>
            <xdr:cNvSpPr txBox="1"/>
          </xdr:nvSpPr>
          <xdr:spPr>
            <a:xfrm xmlns:a="http://schemas.openxmlformats.org/drawingml/2006/main">
              <a:off x="6162674" y="4924424"/>
              <a:ext cx="3038475" cy="657226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∆^2</a:t>
              </a:r>
              <a:r>
                <a:rPr lang="de-DE" sz="1600" b="0" i="0">
                  <a:latin typeface="Cambria Math" panose="02040503050406030204" pitchFamily="18" charset="0"/>
                </a:rPr>
                <a:t>=(→┬𝑥−→┬µ )^𝑇∗𝐶𝑂𝑉^(−1)∗(→┬𝑥−→┬µ)</a:t>
              </a:r>
              <a:endParaRPr lang="de-DE" sz="16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228</xdr:row>
      <xdr:rowOff>0</xdr:rowOff>
    </xdr:from>
    <xdr:to>
      <xdr:col>8</xdr:col>
      <xdr:colOff>752475</xdr:colOff>
      <xdr:row>248</xdr:row>
      <xdr:rowOff>38100</xdr:rowOff>
    </xdr:to>
    <xdr:graphicFrame macro="">
      <xdr:nvGraphicFramePr>
        <xdr:cNvPr id="197292" name="Diagramm 1">
          <a:extLst>
            <a:ext uri="{FF2B5EF4-FFF2-40B4-BE49-F238E27FC236}">
              <a16:creationId xmlns:a16="http://schemas.microsoft.com/office/drawing/2014/main" id="{00000000-0008-0000-0B00-0000AC0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752475</xdr:colOff>
      <xdr:row>147</xdr:row>
      <xdr:rowOff>0</xdr:rowOff>
    </xdr:from>
    <xdr:to>
      <xdr:col>12</xdr:col>
      <xdr:colOff>752475</xdr:colOff>
      <xdr:row>163</xdr:row>
      <xdr:rowOff>152400</xdr:rowOff>
    </xdr:to>
    <xdr:graphicFrame macro="">
      <xdr:nvGraphicFramePr>
        <xdr:cNvPr id="197293" name="Diagramm 2">
          <a:extLst>
            <a:ext uri="{FF2B5EF4-FFF2-40B4-BE49-F238E27FC236}">
              <a16:creationId xmlns:a16="http://schemas.microsoft.com/office/drawing/2014/main" id="{00000000-0008-0000-0B00-0000AD0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685800</xdr:colOff>
      <xdr:row>261</xdr:row>
      <xdr:rowOff>95250</xdr:rowOff>
    </xdr:from>
    <xdr:to>
      <xdr:col>8</xdr:col>
      <xdr:colOff>276225</xdr:colOff>
      <xdr:row>283</xdr:row>
      <xdr:rowOff>57150</xdr:rowOff>
    </xdr:to>
    <xdr:pic>
      <xdr:nvPicPr>
        <xdr:cNvPr id="197294" name="Grafik 3">
          <a:extLst>
            <a:ext uri="{FF2B5EF4-FFF2-40B4-BE49-F238E27FC236}">
              <a16:creationId xmlns:a16="http://schemas.microsoft.com/office/drawing/2014/main" id="{00000000-0008-0000-0B00-0000AE02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529125"/>
          <a:ext cx="4229100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179</xdr:row>
      <xdr:rowOff>76200</xdr:rowOff>
    </xdr:from>
    <xdr:ext cx="3038475" cy="6572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838200" y="29175075"/>
              <a:ext cx="3038475" cy="6572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groupChr>
                              <m:groupChrPr>
                                <m:chr m:val="→"/>
                                <m:pos m:val="top"/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</m:ctrlPr>
                              </m:groupChrPr>
                              <m:e>
                                <m:r>
                                  <m:rPr>
                                    <m:brk m:alnAt="1"/>
                                  </m:r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groupChr>
                            <m:r>
                              <a:rPr lang="de-DE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groupChr>
                              <m:groupChrPr>
                                <m:chr m:val="→"/>
                                <m:pos m:val="top"/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</m:ctrlPr>
                              </m:groupChrPr>
                              <m:e>
                                <m:r>
                                  <m:rPr>
                                    <m:brk m:alnAt="1"/>
                                  </m:r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  <m:t>µ</m:t>
                                </m:r>
                              </m:e>
                            </m:groupChr>
                          </m:e>
                        </m:d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600" b="0" i="1">
                        <a:latin typeface="Cambria Math" panose="02040503050406030204" pitchFamily="18" charset="0"/>
                      </a:rPr>
                      <m:t>𝐶𝑂</m:t>
                    </m:r>
                    <m:sSup>
                      <m:sSup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600" b="0" i="0">
                        <a:latin typeface="Cambria Math" panose="02040503050406030204" pitchFamily="18" charset="0"/>
                      </a:rPr>
                      <m:t>(</m:t>
                    </m:r>
                    <m:groupChr>
                      <m:groupChrPr>
                        <m:chr m:val="→"/>
                        <m:pos m:val="top"/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groupChrPr>
                      <m:e>
                        <m:r>
                          <m:rPr>
                            <m:brk m:alnAt="1"/>
                          </m:rPr>
                          <a:rPr lang="de-DE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groupChr>
                    <m:r>
                      <a:rPr lang="de-DE" sz="1600" b="0" i="1">
                        <a:latin typeface="Cambria Math" panose="02040503050406030204" pitchFamily="18" charset="0"/>
                      </a:rPr>
                      <m:t>−</m:t>
                    </m:r>
                    <m:groupChr>
                      <m:groupChrPr>
                        <m:chr m:val="→"/>
                        <m:pos m:val="top"/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groupChrPr>
                      <m:e>
                        <m:r>
                          <m:rPr>
                            <m:brk m:alnAt="1"/>
                          </m:rPr>
                          <a:rPr lang="de-DE" sz="1600" b="0" i="1">
                            <a:latin typeface="Cambria Math" panose="02040503050406030204" pitchFamily="18" charset="0"/>
                          </a:rPr>
                          <m:t>µ</m:t>
                        </m:r>
                      </m:e>
                    </m:groupChr>
                    <m:r>
                      <a:rPr lang="de-DE" sz="16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2" name="Textfeld 1">
              <a:extLst xmlns:a="http://schemas.openxmlformats.org/drawingml/2006/main">
                <a:ext uri="{FF2B5EF4-FFF2-40B4-BE49-F238E27FC236}">
                  <a16:creationId xmlns:a16="http://schemas.microsoft.com/office/drawing/2014/main" id="{748DCA5D-BBD1-4583-9C50-F530358439AD}"/>
                </a:ext>
              </a:extLst>
            </xdr:cNvPr>
            <xdr:cNvSpPr txBox="1"/>
          </xdr:nvSpPr>
          <xdr:spPr>
            <a:xfrm xmlns:a="http://schemas.openxmlformats.org/drawingml/2006/main">
              <a:off x="838200" y="29175075"/>
              <a:ext cx="3038475" cy="657226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∆^2</a:t>
              </a:r>
              <a:r>
                <a:rPr lang="de-DE" sz="1600" b="0" i="0">
                  <a:latin typeface="Cambria Math" panose="02040503050406030204" pitchFamily="18" charset="0"/>
                </a:rPr>
                <a:t>=(→┬𝑥−→┬µ )^𝑇∗𝐶𝑂𝑉^(−1)∗(→┬𝑥−→┬µ)</a:t>
              </a:r>
              <a:endParaRPr lang="de-DE" sz="1600"/>
            </a:p>
          </xdr:txBody>
        </xdr:sp>
      </mc:Fallback>
    </mc:AlternateContent>
    <xdr:clientData/>
  </xdr:oneCellAnchor>
  <xdr:twoCellAnchor>
    <xdr:from>
      <xdr:col>2</xdr:col>
      <xdr:colOff>28575</xdr:colOff>
      <xdr:row>319</xdr:row>
      <xdr:rowOff>9525</xdr:rowOff>
    </xdr:from>
    <xdr:to>
      <xdr:col>9</xdr:col>
      <xdr:colOff>857250</xdr:colOff>
      <xdr:row>338</xdr:row>
      <xdr:rowOff>133350</xdr:rowOff>
    </xdr:to>
    <xdr:graphicFrame macro="">
      <xdr:nvGraphicFramePr>
        <xdr:cNvPr id="198274" name="Diagramm 2">
          <a:extLst>
            <a:ext uri="{FF2B5EF4-FFF2-40B4-BE49-F238E27FC236}">
              <a16:creationId xmlns:a16="http://schemas.microsoft.com/office/drawing/2014/main" id="{00000000-0008-0000-0C00-00008206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685800</xdr:colOff>
      <xdr:row>356</xdr:row>
      <xdr:rowOff>95250</xdr:rowOff>
    </xdr:from>
    <xdr:to>
      <xdr:col>8</xdr:col>
      <xdr:colOff>104775</xdr:colOff>
      <xdr:row>379</xdr:row>
      <xdr:rowOff>47625</xdr:rowOff>
    </xdr:to>
    <xdr:pic>
      <xdr:nvPicPr>
        <xdr:cNvPr id="198275" name="Grafik 3">
          <a:extLst>
            <a:ext uri="{FF2B5EF4-FFF2-40B4-BE49-F238E27FC236}">
              <a16:creationId xmlns:a16="http://schemas.microsoft.com/office/drawing/2014/main" id="{00000000-0008-0000-0C00-0000830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57931050"/>
          <a:ext cx="4410075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391</xdr:row>
      <xdr:rowOff>161925</xdr:rowOff>
    </xdr:from>
    <xdr:to>
      <xdr:col>10</xdr:col>
      <xdr:colOff>962025</xdr:colOff>
      <xdr:row>422</xdr:row>
      <xdr:rowOff>9525</xdr:rowOff>
    </xdr:to>
    <xdr:graphicFrame macro="">
      <xdr:nvGraphicFramePr>
        <xdr:cNvPr id="322772" name="Diagramm 3">
          <a:extLst>
            <a:ext uri="{FF2B5EF4-FFF2-40B4-BE49-F238E27FC236}">
              <a16:creationId xmlns:a16="http://schemas.microsoft.com/office/drawing/2014/main" id="{00000000-0008-0000-0D00-0000D4EC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522</xdr:row>
      <xdr:rowOff>161925</xdr:rowOff>
    </xdr:from>
    <xdr:to>
      <xdr:col>10</xdr:col>
      <xdr:colOff>962025</xdr:colOff>
      <xdr:row>553</xdr:row>
      <xdr:rowOff>9525</xdr:rowOff>
    </xdr:to>
    <xdr:graphicFrame macro="">
      <xdr:nvGraphicFramePr>
        <xdr:cNvPr id="434370" name="Diagramm 3">
          <a:extLst>
            <a:ext uri="{FF2B5EF4-FFF2-40B4-BE49-F238E27FC236}">
              <a16:creationId xmlns:a16="http://schemas.microsoft.com/office/drawing/2014/main" id="{00000000-0008-0000-0E00-0000C2A0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461</xdr:row>
      <xdr:rowOff>161925</xdr:rowOff>
    </xdr:from>
    <xdr:to>
      <xdr:col>10</xdr:col>
      <xdr:colOff>962025</xdr:colOff>
      <xdr:row>492</xdr:row>
      <xdr:rowOff>9525</xdr:rowOff>
    </xdr:to>
    <xdr:graphicFrame macro="">
      <xdr:nvGraphicFramePr>
        <xdr:cNvPr id="459967" name="Diagramm 3">
          <a:extLst>
            <a:ext uri="{FF2B5EF4-FFF2-40B4-BE49-F238E27FC236}">
              <a16:creationId xmlns:a16="http://schemas.microsoft.com/office/drawing/2014/main" id="{00000000-0008-0000-0F00-0000BF0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69</xdr:row>
          <xdr:rowOff>0</xdr:rowOff>
        </xdr:from>
        <xdr:to>
          <xdr:col>6</xdr:col>
          <xdr:colOff>542925</xdr:colOff>
          <xdr:row>73</xdr:row>
          <xdr:rowOff>0</xdr:rowOff>
        </xdr:to>
        <xdr:sp macro="" textlink="">
          <xdr:nvSpPr>
            <xdr:cNvPr id="497665" name="Object 1" hidden="1">
              <a:extLst>
                <a:ext uri="{63B3BB69-23CF-44E3-9099-C40C66FF867C}">
                  <a14:compatExt spid="_x0000_s497665"/>
                </a:ext>
                <a:ext uri="{FF2B5EF4-FFF2-40B4-BE49-F238E27FC236}">
                  <a16:creationId xmlns:a16="http://schemas.microsoft.com/office/drawing/2014/main" id="{00000000-0008-0000-1000-0000019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47624</xdr:colOff>
      <xdr:row>70</xdr:row>
      <xdr:rowOff>28575</xdr:rowOff>
    </xdr:from>
    <xdr:ext cx="1362075" cy="3284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5829299" y="11563350"/>
              <a:ext cx="1362075" cy="328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𝑏𝑒𝑡𝑎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𝑏𝑒𝑡𝑎</m:t>
                                </m:r>
                              </m:e>
                            </m:d>
                          </m:e>
                        </m:func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den>
                    </m:f>
                    <m:r>
                      <a:rPr lang="de-DE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 xmlns:a="http://schemas.openxmlformats.org/drawingml/2006/main">
                <a:ext uri="{FF2B5EF4-FFF2-40B4-BE49-F238E27FC236}">
                  <a16:creationId xmlns:a16="http://schemas.microsoft.com/office/drawing/2014/main" id="{403E63D3-C0BF-415C-BFE4-F686527A1BA7}"/>
                </a:ext>
              </a:extLst>
            </xdr:cNvPr>
            <xdr:cNvSpPr txBox="1"/>
          </xdr:nvSpPr>
          <xdr:spPr>
            <a:xfrm xmlns:a="http://schemas.openxmlformats.org/drawingml/2006/main">
              <a:off x="5829299" y="11563350"/>
              <a:ext cx="1362075" cy="328488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b="0" i="0">
                  <a:latin typeface="Cambria Math" panose="02040503050406030204" pitchFamily="18" charset="0"/>
                </a:rPr>
                <a:t>𝑧_𝑏𝑒𝑡𝑎=ln⁡(𝑏𝑒𝑡𝑎)/𝑑′+𝑑^′/2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381000</xdr:colOff>
      <xdr:row>70</xdr:row>
      <xdr:rowOff>57150</xdr:rowOff>
    </xdr:from>
    <xdr:ext cx="8050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SpPr txBox="1"/>
          </xdr:nvSpPr>
          <xdr:spPr>
            <a:xfrm>
              <a:off x="3705225" y="11591925"/>
              <a:ext cx="8050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𝑧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0−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𝑧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 xmlns:a="http://schemas.openxmlformats.org/drawingml/2006/main">
                <a:ext uri="{FF2B5EF4-FFF2-40B4-BE49-F238E27FC236}">
                  <a16:creationId xmlns:a16="http://schemas.microsoft.com/office/drawing/2014/main" id="{3A5BE7A0-1956-4D12-BB69-85FFC0252A4C}"/>
                </a:ext>
              </a:extLst>
            </xdr:cNvPr>
            <xdr:cNvSpPr txBox="1"/>
          </xdr:nvSpPr>
          <xdr:spPr>
            <a:xfrm xmlns:a="http://schemas.openxmlformats.org/drawingml/2006/main">
              <a:off x="3705225" y="11591925"/>
              <a:ext cx="805029" cy="172227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b="0" i="0">
                  <a:latin typeface="Cambria Math" panose="02040503050406030204" pitchFamily="18" charset="0"/>
                </a:rPr>
                <a:t>𝑑^′=𝑧0−𝑧1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</xdr:col>
      <xdr:colOff>28573</xdr:colOff>
      <xdr:row>70</xdr:row>
      <xdr:rowOff>1</xdr:rowOff>
    </xdr:from>
    <xdr:ext cx="1885951" cy="327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1000-000004000000}"/>
                </a:ext>
              </a:extLst>
            </xdr:cNvPr>
            <xdr:cNvSpPr txBox="1"/>
          </xdr:nvSpPr>
          <xdr:spPr>
            <a:xfrm>
              <a:off x="1657348" y="11534776"/>
              <a:ext cx="1885951" cy="327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𝑐𝑜𝑟𝑟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</m:d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0|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𝐻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0)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 xmlns:a="http://schemas.openxmlformats.org/drawingml/2006/main">
                <a:ext uri="{FF2B5EF4-FFF2-40B4-BE49-F238E27FC236}">
                  <a16:creationId xmlns:a16="http://schemas.microsoft.com/office/drawing/2014/main" id="{85441086-A035-4187-A5DF-DB5E76DF6C2D}"/>
                </a:ext>
              </a:extLst>
            </xdr:cNvPr>
            <xdr:cNvSpPr txBox="1"/>
          </xdr:nvSpPr>
          <xdr:spPr>
            <a:xfrm xmlns:a="http://schemas.openxmlformats.org/drawingml/2006/main">
              <a:off x="1657348" y="11534776"/>
              <a:ext cx="1885951" cy="327397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b="0" i="0">
                  <a:latin typeface="Cambria Math" panose="02040503050406030204" pitchFamily="18" charset="0"/>
                </a:rPr>
                <a:t>𝑝_𝑐𝑜𝑟𝑟=(ℎ(𝐷1│𝐻1)+ℎ(𝐷0|𝐻0))/𝑁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</xdr:col>
      <xdr:colOff>104775</xdr:colOff>
      <xdr:row>73</xdr:row>
      <xdr:rowOff>95250</xdr:rowOff>
    </xdr:from>
    <xdr:ext cx="29032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SpPr txBox="1"/>
          </xdr:nvSpPr>
          <xdr:spPr>
            <a:xfrm>
              <a:off x="1733550" y="12115800"/>
              <a:ext cx="29032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𝑐𝑜𝑟𝑟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𝐻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𝐻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de-DE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𝐻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1|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>
              <a:extLst xmlns:a="http://schemas.openxmlformats.org/drawingml/2006/main">
                <a:ext uri="{FF2B5EF4-FFF2-40B4-BE49-F238E27FC236}">
                  <a16:creationId xmlns:a16="http://schemas.microsoft.com/office/drawing/2014/main" id="{28C8DAEE-DC84-4A60-B725-B0A91441CF70}"/>
                </a:ext>
              </a:extLst>
            </xdr:cNvPr>
            <xdr:cNvSpPr txBox="1"/>
          </xdr:nvSpPr>
          <xdr:spPr>
            <a:xfrm xmlns:a="http://schemas.openxmlformats.org/drawingml/2006/main">
              <a:off x="1733550" y="12115800"/>
              <a:ext cx="2903295" cy="172227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b="0" i="0">
                  <a:latin typeface="Cambria Math" panose="02040503050406030204" pitchFamily="18" charset="0"/>
                </a:rPr>
                <a:t>𝑝_𝑐𝑜𝑟𝑟=𝑝(𝐻0)∗𝑝(𝐷0│𝐻0)+𝑝(𝐻1)∗𝑝(𝐷1|𝐻1)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1</xdr:col>
      <xdr:colOff>0</xdr:colOff>
      <xdr:row>183</xdr:row>
      <xdr:rowOff>133350</xdr:rowOff>
    </xdr:from>
    <xdr:to>
      <xdr:col>11</xdr:col>
      <xdr:colOff>9525</xdr:colOff>
      <xdr:row>211</xdr:row>
      <xdr:rowOff>19050</xdr:rowOff>
    </xdr:to>
    <xdr:graphicFrame macro="">
      <xdr:nvGraphicFramePr>
        <xdr:cNvPr id="2758779" name="Diagramm 5">
          <a:extLst>
            <a:ext uri="{FF2B5EF4-FFF2-40B4-BE49-F238E27FC236}">
              <a16:creationId xmlns:a16="http://schemas.microsoft.com/office/drawing/2014/main" id="{00000000-0008-0000-1000-00007B18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239</xdr:row>
          <xdr:rowOff>66675</xdr:rowOff>
        </xdr:from>
        <xdr:to>
          <xdr:col>5</xdr:col>
          <xdr:colOff>352425</xdr:colOff>
          <xdr:row>244</xdr:row>
          <xdr:rowOff>76200</xdr:rowOff>
        </xdr:to>
        <xdr:sp macro="" textlink="">
          <xdr:nvSpPr>
            <xdr:cNvPr id="497680" name="Object 20" hidden="1">
              <a:extLst>
                <a:ext uri="{63B3BB69-23CF-44E3-9099-C40C66FF867C}">
                  <a14:compatExt spid="_x0000_s497680"/>
                </a:ext>
                <a:ext uri="{FF2B5EF4-FFF2-40B4-BE49-F238E27FC236}">
                  <a16:creationId xmlns:a16="http://schemas.microsoft.com/office/drawing/2014/main" id="{00000000-0008-0000-1000-0000109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733425</xdr:colOff>
      <xdr:row>240</xdr:row>
      <xdr:rowOff>85724</xdr:rowOff>
    </xdr:from>
    <xdr:ext cx="2419350" cy="477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1000-00000A000000}"/>
                </a:ext>
              </a:extLst>
            </xdr:cNvPr>
            <xdr:cNvSpPr txBox="1"/>
          </xdr:nvSpPr>
          <xdr:spPr>
            <a:xfrm>
              <a:off x="6515100" y="39147749"/>
              <a:ext cx="2419350" cy="47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𝑏𝑒𝑡𝑎</m:t>
                        </m:r>
                      </m:sub>
                    </m:sSub>
                    <m:r>
                      <a:rPr lang="de-DE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unc>
                          <m:funcPr>
                            <m:ctrlPr>
                              <a:rPr lang="de-DE" sz="16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600" b="0" i="0">
                                <a:latin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</a:rPr>
                                  <m:t>𝑏𝑒𝑡𝑎</m:t>
                                </m:r>
                              </m:e>
                            </m:d>
                          </m:e>
                        </m:func>
                      </m:num>
                      <m:den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′</m:t>
                        </m:r>
                      </m:den>
                    </m:f>
                    <m:r>
                      <a:rPr lang="de-DE" sz="16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de-DE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de-DE" sz="16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</m:num>
                      <m:den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10" name="Textfeld 9">
              <a:extLst xmlns:a="http://schemas.openxmlformats.org/drawingml/2006/main">
                <a:ext uri="{FF2B5EF4-FFF2-40B4-BE49-F238E27FC236}">
                  <a16:creationId xmlns:a16="http://schemas.microsoft.com/office/drawing/2014/main" id="{3A9C67F3-B5FB-4D17-88A0-FF7E2E3F1CB2}"/>
                </a:ext>
              </a:extLst>
            </xdr:cNvPr>
            <xdr:cNvSpPr txBox="1"/>
          </xdr:nvSpPr>
          <xdr:spPr>
            <a:xfrm xmlns:a="http://schemas.openxmlformats.org/drawingml/2006/main">
              <a:off x="6515100" y="39147749"/>
              <a:ext cx="2419350" cy="477888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600" b="0" i="0">
                  <a:latin typeface="Cambria Math" panose="02040503050406030204" pitchFamily="18" charset="0"/>
                </a:rPr>
                <a:t>𝑧_𝑏𝑒𝑡𝑎=ln⁡(𝑏𝑒𝑡𝑎)/𝑑′+𝑑^′/2</a:t>
              </a:r>
              <a:endParaRPr lang="de-DE" sz="1600"/>
            </a:p>
          </xdr:txBody>
        </xdr:sp>
      </mc:Fallback>
    </mc:AlternateContent>
    <xdr:clientData/>
  </xdr:oneCellAnchor>
  <xdr:twoCellAnchor>
    <xdr:from>
      <xdr:col>0</xdr:col>
      <xdr:colOff>752475</xdr:colOff>
      <xdr:row>343</xdr:row>
      <xdr:rowOff>161925</xdr:rowOff>
    </xdr:from>
    <xdr:to>
      <xdr:col>11</xdr:col>
      <xdr:colOff>9525</xdr:colOff>
      <xdr:row>371</xdr:row>
      <xdr:rowOff>19050</xdr:rowOff>
    </xdr:to>
    <xdr:graphicFrame macro="">
      <xdr:nvGraphicFramePr>
        <xdr:cNvPr id="2758781" name="Diagramm 6">
          <a:extLst>
            <a:ext uri="{FF2B5EF4-FFF2-40B4-BE49-F238E27FC236}">
              <a16:creationId xmlns:a16="http://schemas.microsoft.com/office/drawing/2014/main" id="{00000000-0008-0000-1000-00007D18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71</xdr:row>
      <xdr:rowOff>0</xdr:rowOff>
    </xdr:from>
    <xdr:to>
      <xdr:col>6</xdr:col>
      <xdr:colOff>0</xdr:colOff>
      <xdr:row>86</xdr:row>
      <xdr:rowOff>0</xdr:rowOff>
    </xdr:to>
    <xdr:graphicFrame macro="">
      <xdr:nvGraphicFramePr>
        <xdr:cNvPr id="508360" name="Diagramm 1">
          <a:extLst>
            <a:ext uri="{FF2B5EF4-FFF2-40B4-BE49-F238E27FC236}">
              <a16:creationId xmlns:a16="http://schemas.microsoft.com/office/drawing/2014/main" id="{00000000-0008-0000-1100-0000C8C1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275</xdr:row>
          <xdr:rowOff>57150</xdr:rowOff>
        </xdr:from>
        <xdr:to>
          <xdr:col>5</xdr:col>
          <xdr:colOff>276225</xdr:colOff>
          <xdr:row>280</xdr:row>
          <xdr:rowOff>57150</xdr:rowOff>
        </xdr:to>
        <xdr:sp macro="" textlink="">
          <xdr:nvSpPr>
            <xdr:cNvPr id="507914" name="Object 13" hidden="1">
              <a:extLst>
                <a:ext uri="{63B3BB69-23CF-44E3-9099-C40C66FF867C}">
                  <a14:compatExt spid="_x0000_s507914"/>
                </a:ext>
                <a:ext uri="{FF2B5EF4-FFF2-40B4-BE49-F238E27FC236}">
                  <a16:creationId xmlns:a16="http://schemas.microsoft.com/office/drawing/2014/main" id="{00000000-0008-0000-1100-00000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752475</xdr:colOff>
      <xdr:row>130</xdr:row>
      <xdr:rowOff>142875</xdr:rowOff>
    </xdr:from>
    <xdr:to>
      <xdr:col>6</xdr:col>
      <xdr:colOff>752475</xdr:colOff>
      <xdr:row>147</xdr:row>
      <xdr:rowOff>9525</xdr:rowOff>
    </xdr:to>
    <xdr:graphicFrame macro="">
      <xdr:nvGraphicFramePr>
        <xdr:cNvPr id="508361" name="Diagramm 1">
          <a:extLst>
            <a:ext uri="{FF2B5EF4-FFF2-40B4-BE49-F238E27FC236}">
              <a16:creationId xmlns:a16="http://schemas.microsoft.com/office/drawing/2014/main" id="{00000000-0008-0000-1100-0000C9C1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328</xdr:row>
      <xdr:rowOff>0</xdr:rowOff>
    </xdr:from>
    <xdr:to>
      <xdr:col>11</xdr:col>
      <xdr:colOff>762000</xdr:colOff>
      <xdr:row>338</xdr:row>
      <xdr:rowOff>0</xdr:rowOff>
    </xdr:to>
    <xdr:graphicFrame macro="">
      <xdr:nvGraphicFramePr>
        <xdr:cNvPr id="508362" name="Diagramm 2">
          <a:extLst>
            <a:ext uri="{FF2B5EF4-FFF2-40B4-BE49-F238E27FC236}">
              <a16:creationId xmlns:a16="http://schemas.microsoft.com/office/drawing/2014/main" id="{00000000-0008-0000-1100-0000CAC1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277</xdr:row>
          <xdr:rowOff>0</xdr:rowOff>
        </xdr:from>
        <xdr:to>
          <xdr:col>7</xdr:col>
          <xdr:colOff>666750</xdr:colOff>
          <xdr:row>304</xdr:row>
          <xdr:rowOff>85725</xdr:rowOff>
        </xdr:to>
        <xdr:sp macro="" textlink="">
          <xdr:nvSpPr>
            <xdr:cNvPr id="610305" name="Object 1" hidden="1">
              <a:extLst>
                <a:ext uri="{63B3BB69-23CF-44E3-9099-C40C66FF867C}">
                  <a14:compatExt spid="_x0000_s610305"/>
                </a:ext>
                <a:ext uri="{FF2B5EF4-FFF2-40B4-BE49-F238E27FC236}">
                  <a16:creationId xmlns:a16="http://schemas.microsoft.com/office/drawing/2014/main" id="{00000000-0008-0000-1300-0000015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47</xdr:row>
      <xdr:rowOff>104775</xdr:rowOff>
    </xdr:from>
    <xdr:to>
      <xdr:col>14</xdr:col>
      <xdr:colOff>152400</xdr:colOff>
      <xdr:row>53</xdr:row>
      <xdr:rowOff>104775</xdr:rowOff>
    </xdr:to>
    <xdr:pic>
      <xdr:nvPicPr>
        <xdr:cNvPr id="2590747" name="Grafik 1">
          <a:extLst>
            <a:ext uri="{FF2B5EF4-FFF2-40B4-BE49-F238E27FC236}">
              <a16:creationId xmlns:a16="http://schemas.microsoft.com/office/drawing/2014/main" id="{00000000-0008-0000-1400-00001B88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7886700"/>
          <a:ext cx="38195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2.xml"/><Relationship Id="rId4" Type="http://schemas.openxmlformats.org/officeDocument/2006/relationships/image" Target="../media/image14.emf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4.xml"/><Relationship Id="rId5" Type="http://schemas.openxmlformats.org/officeDocument/2006/relationships/image" Target="../media/image15.emf"/><Relationship Id="rId4" Type="http://schemas.openxmlformats.org/officeDocument/2006/relationships/oleObject" Target="../embeddings/oleObject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D3:D15"/>
  <sheetViews>
    <sheetView tabSelected="1" workbookViewId="0"/>
  </sheetViews>
  <sheetFormatPr baseColWidth="10" defaultRowHeight="23.25"/>
  <cols>
    <col min="1" max="16384" width="11.42578125" style="5"/>
  </cols>
  <sheetData>
    <row r="3" spans="4:4">
      <c r="D3" s="5" t="s">
        <v>1216</v>
      </c>
    </row>
    <row r="5" spans="4:4">
      <c r="D5" s="5" t="s">
        <v>0</v>
      </c>
    </row>
    <row r="7" spans="4:4" s="4" customFormat="1" ht="18.75"/>
    <row r="8" spans="4:4" s="4" customFormat="1" ht="18.75"/>
    <row r="13" spans="4:4" s="3" customFormat="1" ht="15.75"/>
    <row r="14" spans="4:4" s="3" customFormat="1" ht="15.75"/>
    <row r="15" spans="4:4" s="3" customFormat="1" ht="15.7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29"/>
  <sheetViews>
    <sheetView zoomScaleNormal="100" workbookViewId="0">
      <selection activeCell="J33" sqref="J33"/>
    </sheetView>
  </sheetViews>
  <sheetFormatPr baseColWidth="10" defaultRowHeight="12.75"/>
  <cols>
    <col min="1" max="1" width="14.28515625" customWidth="1"/>
    <col min="2" max="2" width="14.7109375" customWidth="1"/>
    <col min="3" max="7" width="11.28515625" customWidth="1"/>
    <col min="8" max="8" width="11.5703125" customWidth="1"/>
    <col min="9" max="9" width="13.7109375" customWidth="1"/>
    <col min="10" max="23" width="11.28515625" customWidth="1"/>
  </cols>
  <sheetData>
    <row r="1" spans="1:53" s="10" customFormat="1" ht="20.25">
      <c r="A1" s="10" t="s">
        <v>1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7" spans="1:53">
      <c r="A7" t="s">
        <v>3</v>
      </c>
    </row>
    <row r="8" spans="1:53">
      <c r="A8" t="s">
        <v>4</v>
      </c>
    </row>
    <row r="9" spans="1:53">
      <c r="A9" t="s">
        <v>5</v>
      </c>
    </row>
    <row r="13" spans="1:53" ht="15.75">
      <c r="A13" s="15" t="s">
        <v>6</v>
      </c>
      <c r="B13" s="15"/>
      <c r="C13" s="15"/>
      <c r="D13" s="15"/>
      <c r="E13" s="15"/>
      <c r="F13" s="15"/>
      <c r="G13" s="15"/>
      <c r="H13" s="15"/>
      <c r="I13" s="15"/>
    </row>
    <row r="16" spans="1:53">
      <c r="A16" s="18" t="s">
        <v>19</v>
      </c>
      <c r="B16" s="17"/>
      <c r="C16" s="17"/>
      <c r="D16" s="17"/>
      <c r="E16" s="17"/>
      <c r="F16" s="17"/>
      <c r="G16" s="17"/>
      <c r="H16" s="17"/>
      <c r="I16" s="17"/>
    </row>
    <row r="17" spans="1:9">
      <c r="A17" s="12"/>
    </row>
    <row r="18" spans="1:9">
      <c r="A18" s="12"/>
    </row>
    <row r="19" spans="1:9">
      <c r="A19" s="1"/>
      <c r="B19" s="1"/>
      <c r="C19" s="6" t="s">
        <v>7</v>
      </c>
      <c r="D19" s="6" t="s">
        <v>8</v>
      </c>
      <c r="E19" s="6" t="s">
        <v>9</v>
      </c>
      <c r="F19" s="6" t="s">
        <v>10</v>
      </c>
      <c r="G19" s="6" t="s">
        <v>11</v>
      </c>
      <c r="H19" s="6" t="s">
        <v>12</v>
      </c>
    </row>
    <row r="20" spans="1:9" ht="15">
      <c r="A20" s="20"/>
      <c r="B20" s="6" t="s">
        <v>13</v>
      </c>
      <c r="C20" s="8">
        <v>8</v>
      </c>
      <c r="D20" s="8">
        <v>0</v>
      </c>
      <c r="E20" s="8">
        <v>10</v>
      </c>
      <c r="F20" s="8">
        <v>10</v>
      </c>
      <c r="G20" s="8">
        <v>10</v>
      </c>
      <c r="H20" s="8">
        <v>10</v>
      </c>
    </row>
    <row r="21" spans="1:9" ht="15">
      <c r="A21" s="20"/>
      <c r="B21" s="6" t="s">
        <v>14</v>
      </c>
      <c r="C21" s="8">
        <v>7</v>
      </c>
      <c r="D21" s="8">
        <v>4</v>
      </c>
      <c r="E21" s="8">
        <v>0</v>
      </c>
      <c r="F21" s="8">
        <v>0</v>
      </c>
      <c r="G21" s="8">
        <v>5</v>
      </c>
      <c r="H21" s="8">
        <v>4</v>
      </c>
    </row>
    <row r="22" spans="1:9" ht="15">
      <c r="A22" s="20"/>
      <c r="B22" s="6" t="s">
        <v>15</v>
      </c>
      <c r="C22" s="8">
        <v>9</v>
      </c>
      <c r="D22" s="8">
        <v>0</v>
      </c>
      <c r="E22" s="8">
        <v>4</v>
      </c>
      <c r="F22" s="8">
        <v>2</v>
      </c>
      <c r="G22" s="8">
        <v>2</v>
      </c>
      <c r="H22" s="8">
        <v>0</v>
      </c>
    </row>
    <row r="23" spans="1:9" ht="15">
      <c r="A23" s="20"/>
      <c r="B23" s="6" t="s">
        <v>16</v>
      </c>
      <c r="C23" s="8">
        <v>3</v>
      </c>
      <c r="D23" s="8">
        <v>9</v>
      </c>
      <c r="E23" s="8">
        <v>2</v>
      </c>
      <c r="F23" s="8">
        <v>0</v>
      </c>
      <c r="G23" s="8">
        <v>5</v>
      </c>
      <c r="H23" s="8">
        <v>4</v>
      </c>
    </row>
    <row r="24" spans="1:9" ht="15">
      <c r="A24" s="20"/>
      <c r="B24" s="6" t="s">
        <v>17</v>
      </c>
      <c r="C24" s="8">
        <v>5</v>
      </c>
      <c r="D24" s="8">
        <v>7</v>
      </c>
      <c r="E24" s="8">
        <v>6</v>
      </c>
      <c r="F24" s="8">
        <v>5</v>
      </c>
      <c r="G24" s="8">
        <v>8</v>
      </c>
      <c r="H24" s="8">
        <v>7</v>
      </c>
    </row>
    <row r="25" spans="1:9" ht="15">
      <c r="A25" s="20"/>
      <c r="B25" s="6" t="s">
        <v>18</v>
      </c>
      <c r="C25" s="8">
        <v>9</v>
      </c>
      <c r="D25" s="8">
        <v>0</v>
      </c>
      <c r="E25" s="8">
        <v>2</v>
      </c>
      <c r="F25" s="8">
        <v>1</v>
      </c>
      <c r="G25" s="8">
        <v>4</v>
      </c>
      <c r="H25" s="8">
        <v>2</v>
      </c>
    </row>
    <row r="28" spans="1:9">
      <c r="A28" s="12"/>
    </row>
    <row r="29" spans="1:9">
      <c r="A29" s="18" t="s">
        <v>20</v>
      </c>
      <c r="B29" s="17"/>
      <c r="C29" s="17"/>
      <c r="D29" s="17"/>
      <c r="E29" s="17"/>
      <c r="F29" s="17"/>
      <c r="G29" s="17"/>
      <c r="H29" s="17"/>
      <c r="I29" s="17"/>
    </row>
    <row r="32" spans="1:9">
      <c r="B32" s="1"/>
      <c r="C32" s="6" t="s">
        <v>13</v>
      </c>
      <c r="D32" s="6" t="s">
        <v>14</v>
      </c>
      <c r="E32" s="6" t="s">
        <v>15</v>
      </c>
      <c r="F32" s="6" t="s">
        <v>16</v>
      </c>
      <c r="G32" s="6" t="s">
        <v>17</v>
      </c>
      <c r="H32" s="6" t="s">
        <v>18</v>
      </c>
    </row>
    <row r="33" spans="1:24">
      <c r="B33" s="6" t="s">
        <v>7</v>
      </c>
      <c r="C33" s="8">
        <v>8</v>
      </c>
      <c r="D33" s="8">
        <v>7</v>
      </c>
      <c r="E33" s="8">
        <v>9</v>
      </c>
      <c r="F33" s="8">
        <v>3</v>
      </c>
      <c r="G33" s="8">
        <v>5</v>
      </c>
      <c r="H33" s="8">
        <v>9</v>
      </c>
    </row>
    <row r="34" spans="1:24">
      <c r="B34" s="6" t="s">
        <v>8</v>
      </c>
      <c r="C34" s="8">
        <v>0</v>
      </c>
      <c r="D34" s="8">
        <v>4</v>
      </c>
      <c r="E34" s="8">
        <v>0</v>
      </c>
      <c r="F34" s="8">
        <v>9</v>
      </c>
      <c r="G34" s="8">
        <v>7</v>
      </c>
      <c r="H34" s="8">
        <v>0</v>
      </c>
    </row>
    <row r="35" spans="1:24">
      <c r="B35" s="6" t="s">
        <v>9</v>
      </c>
      <c r="C35" s="8">
        <v>10</v>
      </c>
      <c r="D35" s="8">
        <v>0</v>
      </c>
      <c r="E35" s="8">
        <v>4</v>
      </c>
      <c r="F35" s="8">
        <v>2</v>
      </c>
      <c r="G35" s="8">
        <v>6</v>
      </c>
      <c r="H35" s="8">
        <v>2</v>
      </c>
    </row>
    <row r="36" spans="1:24">
      <c r="B36" s="6" t="s">
        <v>10</v>
      </c>
      <c r="C36" s="8">
        <v>10</v>
      </c>
      <c r="D36" s="8">
        <v>0</v>
      </c>
      <c r="E36" s="8">
        <v>2</v>
      </c>
      <c r="F36" s="8">
        <v>0</v>
      </c>
      <c r="G36" s="8">
        <v>5</v>
      </c>
      <c r="H36" s="8">
        <v>1</v>
      </c>
    </row>
    <row r="37" spans="1:24">
      <c r="B37" s="6" t="s">
        <v>11</v>
      </c>
      <c r="C37" s="8">
        <v>10</v>
      </c>
      <c r="D37" s="8">
        <v>5</v>
      </c>
      <c r="E37" s="8">
        <v>2</v>
      </c>
      <c r="F37" s="8">
        <v>5</v>
      </c>
      <c r="G37" s="8">
        <v>8</v>
      </c>
      <c r="H37" s="8">
        <v>4</v>
      </c>
    </row>
    <row r="38" spans="1:24">
      <c r="B38" s="6" t="s">
        <v>12</v>
      </c>
      <c r="C38" s="8">
        <v>10</v>
      </c>
      <c r="D38" s="8">
        <v>4</v>
      </c>
      <c r="E38" s="8">
        <v>0</v>
      </c>
      <c r="F38" s="8">
        <v>4</v>
      </c>
      <c r="G38" s="8">
        <v>7</v>
      </c>
      <c r="H38" s="8">
        <v>2</v>
      </c>
      <c r="S38" s="9"/>
      <c r="T38" s="9"/>
      <c r="U38" s="13"/>
      <c r="V38" s="13"/>
      <c r="W38" s="13"/>
      <c r="X38" s="13"/>
    </row>
    <row r="39" spans="1:24">
      <c r="N39" s="14"/>
      <c r="O39" s="14"/>
      <c r="P39" s="14"/>
      <c r="Q39" s="14"/>
      <c r="U39" s="14"/>
      <c r="V39" s="14"/>
      <c r="W39" s="14"/>
      <c r="X39" s="14"/>
    </row>
    <row r="40" spans="1:24">
      <c r="N40" s="14"/>
      <c r="O40" s="14"/>
      <c r="P40" s="14"/>
      <c r="Q40" s="14"/>
      <c r="R40" s="14"/>
      <c r="U40" s="14"/>
      <c r="V40" s="14"/>
      <c r="W40" s="14"/>
      <c r="X40" s="14"/>
    </row>
    <row r="41" spans="1:24">
      <c r="N41" s="14"/>
      <c r="O41" s="14"/>
      <c r="P41" s="14"/>
      <c r="Q41" s="14"/>
      <c r="R41" s="14"/>
      <c r="U41" s="14"/>
      <c r="V41" s="14"/>
      <c r="W41" s="14"/>
      <c r="X41" s="14"/>
    </row>
    <row r="42" spans="1:24">
      <c r="A42" s="18" t="s">
        <v>21</v>
      </c>
      <c r="B42" s="17"/>
      <c r="C42" s="17"/>
      <c r="D42" s="17"/>
      <c r="E42" s="17"/>
      <c r="F42" s="17"/>
      <c r="G42" s="17"/>
      <c r="H42" s="17"/>
      <c r="I42" s="17"/>
      <c r="N42" s="14"/>
      <c r="O42" s="14"/>
      <c r="P42" s="14"/>
      <c r="Q42" s="14"/>
      <c r="R42" s="14"/>
      <c r="U42" s="14"/>
      <c r="V42" s="14"/>
      <c r="W42" s="14"/>
      <c r="X42" s="14"/>
    </row>
    <row r="43" spans="1:24">
      <c r="N43" s="14"/>
      <c r="O43" s="14"/>
      <c r="P43" s="14"/>
      <c r="Q43" s="14"/>
      <c r="R43" s="14"/>
      <c r="U43" s="14"/>
      <c r="V43" s="14"/>
      <c r="W43" s="14"/>
      <c r="X43" s="14"/>
    </row>
    <row r="44" spans="1:24">
      <c r="N44" s="14"/>
      <c r="O44" s="14"/>
      <c r="P44" s="14"/>
      <c r="Q44" s="14"/>
      <c r="R44" s="14"/>
      <c r="U44" s="14"/>
      <c r="V44" s="14"/>
      <c r="W44" s="14"/>
      <c r="X44" s="14"/>
    </row>
    <row r="45" spans="1:24">
      <c r="B45" s="6" t="s">
        <v>22</v>
      </c>
      <c r="C45" s="2" t="s">
        <v>23</v>
      </c>
      <c r="D45" s="2"/>
      <c r="E45" s="2"/>
      <c r="F45" s="2"/>
      <c r="G45" s="2"/>
      <c r="H45" s="2"/>
      <c r="N45" s="14"/>
      <c r="O45" s="14"/>
      <c r="P45" s="14"/>
      <c r="Q45" s="14"/>
      <c r="R45" s="14"/>
      <c r="U45" s="14"/>
      <c r="V45" s="14"/>
      <c r="W45" s="14"/>
      <c r="X45" s="14"/>
    </row>
    <row r="46" spans="1:24">
      <c r="C46" s="2"/>
      <c r="D46" s="2"/>
      <c r="E46" s="2"/>
      <c r="F46" s="2"/>
      <c r="G46" s="2"/>
      <c r="H46" s="2"/>
      <c r="N46" s="14"/>
      <c r="O46" s="14"/>
      <c r="P46" s="14"/>
      <c r="Q46" s="14"/>
      <c r="R46" s="14"/>
      <c r="U46" s="14"/>
      <c r="V46" s="14"/>
      <c r="W46" s="14"/>
      <c r="X46" s="14"/>
    </row>
    <row r="47" spans="1:24">
      <c r="C47" s="2" t="s">
        <v>35</v>
      </c>
      <c r="D47" s="2"/>
      <c r="E47" s="2"/>
      <c r="F47" s="2"/>
      <c r="G47" s="2"/>
      <c r="H47" s="2"/>
      <c r="N47" s="14"/>
      <c r="O47" s="14"/>
      <c r="P47" s="14"/>
      <c r="Q47" s="14"/>
      <c r="R47" s="14"/>
      <c r="U47" s="14"/>
      <c r="V47" s="14"/>
      <c r="W47" s="14"/>
      <c r="X47" s="14"/>
    </row>
    <row r="48" spans="1:24">
      <c r="C48" s="2"/>
      <c r="D48" s="2"/>
      <c r="E48" s="2"/>
      <c r="F48" s="2"/>
      <c r="G48" s="2"/>
      <c r="H48" s="2"/>
      <c r="N48" s="14"/>
      <c r="O48" s="14"/>
      <c r="P48" s="14"/>
      <c r="Q48" s="14"/>
      <c r="R48" s="14"/>
      <c r="U48" s="14"/>
      <c r="V48" s="14"/>
      <c r="W48" s="14"/>
      <c r="X48" s="14"/>
    </row>
    <row r="49" spans="1:24">
      <c r="C49" s="2" t="s">
        <v>24</v>
      </c>
      <c r="D49" s="2"/>
      <c r="E49" s="2"/>
      <c r="F49" s="2"/>
      <c r="G49" s="2"/>
      <c r="H49" s="2"/>
      <c r="N49" s="14"/>
      <c r="O49" s="14"/>
      <c r="P49" s="14"/>
      <c r="Q49" s="14"/>
      <c r="R49" s="14"/>
      <c r="U49" s="14"/>
      <c r="V49" s="14"/>
      <c r="W49" s="14"/>
      <c r="X49" s="14"/>
    </row>
    <row r="50" spans="1:24">
      <c r="C50" s="2"/>
      <c r="D50" s="2"/>
      <c r="E50" s="2"/>
      <c r="F50" s="2"/>
      <c r="G50" s="2"/>
      <c r="H50" s="2"/>
      <c r="N50" s="14"/>
      <c r="O50" s="14"/>
      <c r="P50" s="14"/>
      <c r="Q50" s="14"/>
      <c r="R50" s="14"/>
      <c r="U50" s="14"/>
      <c r="V50" s="14"/>
      <c r="W50" s="14"/>
      <c r="X50" s="14"/>
    </row>
    <row r="51" spans="1:24">
      <c r="C51" s="2" t="s">
        <v>25</v>
      </c>
      <c r="D51" s="2"/>
      <c r="E51" s="2"/>
      <c r="F51" s="2"/>
      <c r="G51" s="2"/>
      <c r="H51" s="2"/>
      <c r="N51" s="14"/>
      <c r="O51" s="14"/>
      <c r="P51" s="14"/>
      <c r="Q51" s="14"/>
      <c r="R51" s="14"/>
      <c r="U51" s="14"/>
      <c r="V51" s="14"/>
      <c r="W51" s="14"/>
      <c r="X51" s="14"/>
    </row>
    <row r="52" spans="1:24">
      <c r="C52" s="2" t="s">
        <v>26</v>
      </c>
      <c r="D52" s="2"/>
      <c r="E52" s="2"/>
      <c r="F52" s="2"/>
      <c r="G52" s="2"/>
      <c r="H52" s="2"/>
      <c r="N52" s="14"/>
      <c r="O52" s="14"/>
      <c r="P52" s="14"/>
      <c r="Q52" s="14"/>
      <c r="R52" s="14"/>
      <c r="U52" s="14"/>
      <c r="V52" s="14"/>
      <c r="W52" s="14"/>
      <c r="X52" s="14"/>
    </row>
    <row r="53" spans="1:24">
      <c r="C53" s="2"/>
      <c r="D53" s="2"/>
      <c r="E53" s="2"/>
      <c r="F53" s="2"/>
      <c r="G53" s="2"/>
      <c r="H53" s="2"/>
      <c r="N53" s="14"/>
      <c r="O53" s="14"/>
      <c r="P53" s="14"/>
      <c r="Q53" s="14"/>
      <c r="R53" s="14"/>
      <c r="U53" s="14"/>
      <c r="V53" s="14"/>
      <c r="W53" s="14"/>
      <c r="X53" s="14"/>
    </row>
    <row r="54" spans="1:24">
      <c r="C54" s="2" t="s">
        <v>29</v>
      </c>
      <c r="D54" s="2"/>
      <c r="E54" s="2"/>
      <c r="F54" s="2"/>
      <c r="G54" s="2"/>
      <c r="H54" s="2"/>
      <c r="N54" s="14"/>
      <c r="O54" s="14"/>
      <c r="P54" s="14"/>
      <c r="Q54" s="14"/>
      <c r="R54" s="14"/>
      <c r="U54" s="14"/>
      <c r="V54" s="14"/>
      <c r="W54" s="14"/>
      <c r="X54" s="14"/>
    </row>
    <row r="55" spans="1:24">
      <c r="C55" s="21"/>
      <c r="D55" s="21"/>
      <c r="E55" s="21"/>
      <c r="F55" s="21"/>
      <c r="G55" s="21"/>
      <c r="H55" s="21"/>
      <c r="N55" s="14"/>
      <c r="O55" s="14"/>
      <c r="P55" s="14"/>
      <c r="Q55" s="14"/>
      <c r="R55" s="14"/>
      <c r="U55" s="14"/>
      <c r="V55" s="14"/>
      <c r="W55" s="14"/>
      <c r="X55" s="14"/>
    </row>
    <row r="56" spans="1:24">
      <c r="N56" s="14"/>
      <c r="O56" s="14"/>
      <c r="P56" s="14"/>
      <c r="Q56" s="14"/>
      <c r="R56" s="14"/>
      <c r="U56" s="14"/>
      <c r="V56" s="14"/>
      <c r="W56" s="14"/>
      <c r="X56" s="14"/>
    </row>
    <row r="57" spans="1:24">
      <c r="N57" s="14"/>
      <c r="O57" s="14"/>
      <c r="P57" s="14"/>
      <c r="Q57" s="14"/>
      <c r="R57" s="14"/>
      <c r="U57" s="14"/>
      <c r="V57" s="14"/>
      <c r="W57" s="14"/>
      <c r="X57" s="14"/>
    </row>
    <row r="58" spans="1:24">
      <c r="A58" s="18" t="s">
        <v>27</v>
      </c>
      <c r="B58" s="17"/>
      <c r="C58" s="17"/>
      <c r="D58" s="17"/>
      <c r="E58" s="17"/>
      <c r="F58" s="17"/>
      <c r="G58" s="17"/>
      <c r="H58" s="17"/>
      <c r="I58" s="17"/>
      <c r="N58" s="14"/>
      <c r="O58" s="14"/>
      <c r="P58" s="14"/>
      <c r="Q58" s="14"/>
      <c r="R58" s="14"/>
      <c r="U58" s="14"/>
      <c r="V58" s="14"/>
      <c r="W58" s="14"/>
      <c r="X58" s="14"/>
    </row>
    <row r="59" spans="1:24">
      <c r="N59" s="14"/>
      <c r="O59" s="14"/>
      <c r="P59" s="14"/>
      <c r="Q59" s="14"/>
      <c r="R59" s="14"/>
      <c r="U59" s="14"/>
      <c r="V59" s="14"/>
      <c r="W59" s="14"/>
      <c r="X59" s="14"/>
    </row>
    <row r="60" spans="1:24">
      <c r="N60" s="14"/>
      <c r="O60" s="14"/>
      <c r="P60" s="14"/>
      <c r="Q60" s="14"/>
      <c r="R60" s="14"/>
      <c r="U60" s="14"/>
      <c r="V60" s="14"/>
      <c r="W60" s="14"/>
      <c r="X60" s="14"/>
    </row>
    <row r="61" spans="1:24">
      <c r="B61" s="241"/>
      <c r="C61" s="241" t="s">
        <v>28</v>
      </c>
      <c r="D61" s="241"/>
      <c r="E61" s="241"/>
      <c r="F61" s="241"/>
      <c r="G61" s="241"/>
      <c r="H61" s="241"/>
      <c r="N61" s="14"/>
      <c r="O61" s="14"/>
      <c r="P61" s="14"/>
      <c r="Q61" s="14"/>
      <c r="R61" s="14"/>
      <c r="U61" s="14"/>
      <c r="V61" s="14"/>
      <c r="W61" s="14"/>
      <c r="X61" s="14"/>
    </row>
    <row r="62" spans="1:24">
      <c r="B62" s="241"/>
      <c r="C62" s="6" t="s">
        <v>13</v>
      </c>
      <c r="D62" s="6" t="s">
        <v>14</v>
      </c>
      <c r="E62" s="6" t="s">
        <v>15</v>
      </c>
      <c r="F62" s="6" t="s">
        <v>16</v>
      </c>
      <c r="G62" s="6" t="s">
        <v>17</v>
      </c>
      <c r="H62" s="6" t="s">
        <v>18</v>
      </c>
      <c r="N62" s="14"/>
      <c r="O62" s="14"/>
      <c r="P62" s="14"/>
      <c r="Q62" s="14"/>
      <c r="R62" s="14"/>
      <c r="U62" s="14"/>
      <c r="V62" s="14"/>
      <c r="W62" s="14"/>
      <c r="X62" s="14"/>
    </row>
    <row r="63" spans="1:24">
      <c r="B63" s="6" t="s">
        <v>13</v>
      </c>
      <c r="C63" s="8">
        <v>1</v>
      </c>
      <c r="D63" s="8">
        <v>-0.24957591148430247</v>
      </c>
      <c r="E63" s="8">
        <v>0.23728671546726626</v>
      </c>
      <c r="F63" s="8">
        <v>-0.81685971040128336</v>
      </c>
      <c r="G63" s="8">
        <v>-0.16514456476895401</v>
      </c>
      <c r="H63" s="8">
        <v>0.27907815282571902</v>
      </c>
      <c r="N63" s="14"/>
      <c r="O63" s="14"/>
      <c r="P63" s="14"/>
      <c r="Q63" s="14"/>
      <c r="R63" s="14"/>
      <c r="U63" s="14"/>
      <c r="V63" s="14"/>
      <c r="W63" s="14"/>
      <c r="X63" s="14"/>
    </row>
    <row r="64" spans="1:24">
      <c r="B64" s="6" t="s">
        <v>14</v>
      </c>
      <c r="C64" s="8">
        <v>-0.24957591148430244</v>
      </c>
      <c r="D64" s="8">
        <v>1</v>
      </c>
      <c r="E64" s="8">
        <v>0.34545611505917934</v>
      </c>
      <c r="F64" s="8">
        <v>0.49705083557352486</v>
      </c>
      <c r="G64" s="8">
        <v>0.25514731839312937</v>
      </c>
      <c r="H64" s="8">
        <v>0.68545610011805158</v>
      </c>
      <c r="N64" s="14"/>
      <c r="O64" s="14"/>
      <c r="P64" s="14"/>
      <c r="Q64" s="14"/>
      <c r="R64" s="14"/>
      <c r="U64" s="14"/>
      <c r="V64" s="14"/>
      <c r="W64" s="14"/>
      <c r="X64" s="14"/>
    </row>
    <row r="65" spans="1:24">
      <c r="B65" s="6" t="s">
        <v>15</v>
      </c>
      <c r="C65" s="8">
        <v>0.23728671546726629</v>
      </c>
      <c r="D65" s="8">
        <v>0.34545611505917928</v>
      </c>
      <c r="E65" s="8">
        <v>1</v>
      </c>
      <c r="F65" s="8">
        <v>-0.39089041465197011</v>
      </c>
      <c r="G65" s="8">
        <v>-0.62045467972885859</v>
      </c>
      <c r="H65" s="8">
        <v>0.88295384323582204</v>
      </c>
      <c r="N65" s="14"/>
      <c r="O65" s="14"/>
      <c r="P65" s="14"/>
      <c r="Q65" s="14"/>
      <c r="R65" s="14"/>
      <c r="U65" s="14"/>
      <c r="V65" s="14"/>
      <c r="W65" s="14"/>
      <c r="X65" s="14"/>
    </row>
    <row r="66" spans="1:24">
      <c r="B66" s="6" t="s">
        <v>16</v>
      </c>
      <c r="C66" s="8">
        <v>-0.81685971040128336</v>
      </c>
      <c r="D66" s="8">
        <v>0.49705083557352503</v>
      </c>
      <c r="E66" s="8">
        <v>-0.39089041465197011</v>
      </c>
      <c r="F66" s="8">
        <v>1</v>
      </c>
      <c r="G66" s="8">
        <v>0.66550637733413476</v>
      </c>
      <c r="H66" s="8">
        <v>-0.20263795475248175</v>
      </c>
      <c r="N66" s="14"/>
      <c r="O66" s="14"/>
      <c r="P66" s="14"/>
      <c r="Q66" s="14"/>
      <c r="R66" s="14"/>
      <c r="U66" s="14"/>
      <c r="V66" s="14"/>
      <c r="W66" s="14"/>
      <c r="X66" s="14"/>
    </row>
    <row r="67" spans="1:24">
      <c r="B67" s="6" t="s">
        <v>17</v>
      </c>
      <c r="C67" s="8">
        <v>-0.16514456476895409</v>
      </c>
      <c r="D67" s="8">
        <v>0.25514731839312943</v>
      </c>
      <c r="E67" s="8">
        <v>-0.62045467972885859</v>
      </c>
      <c r="F67" s="8">
        <v>0.66550637733413465</v>
      </c>
      <c r="G67" s="8">
        <v>1</v>
      </c>
      <c r="H67" s="8">
        <v>-0.30725493389951342</v>
      </c>
      <c r="N67" s="14"/>
      <c r="O67" s="14"/>
      <c r="P67" s="14"/>
      <c r="Q67" s="14"/>
      <c r="R67" s="14"/>
      <c r="U67" s="14"/>
      <c r="V67" s="14"/>
      <c r="W67" s="14"/>
      <c r="X67" s="14"/>
    </row>
    <row r="68" spans="1:24">
      <c r="B68" s="6" t="s">
        <v>18</v>
      </c>
      <c r="C68" s="8">
        <v>0.27907815282571902</v>
      </c>
      <c r="D68" s="8">
        <v>0.68545610011805158</v>
      </c>
      <c r="E68" s="8">
        <v>0.88295384323582204</v>
      </c>
      <c r="F68" s="8">
        <v>-0.20263795475248178</v>
      </c>
      <c r="G68" s="8">
        <v>-0.30725493389951347</v>
      </c>
      <c r="H68" s="8">
        <v>1</v>
      </c>
      <c r="N68" s="14"/>
      <c r="O68" s="14"/>
      <c r="P68" s="14"/>
      <c r="Q68" s="14"/>
      <c r="R68" s="14"/>
      <c r="U68" s="14"/>
      <c r="V68" s="14"/>
      <c r="W68" s="14"/>
      <c r="X68" s="14"/>
    </row>
    <row r="69" spans="1:24">
      <c r="N69" s="14"/>
      <c r="O69" s="14"/>
      <c r="P69" s="14"/>
      <c r="Q69" s="14"/>
      <c r="R69" s="14"/>
      <c r="U69" s="14"/>
      <c r="V69" s="14"/>
      <c r="W69" s="14"/>
      <c r="X69" s="14"/>
    </row>
    <row r="70" spans="1:24">
      <c r="N70" s="14"/>
      <c r="O70" s="14"/>
      <c r="P70" s="14"/>
      <c r="Q70" s="14"/>
      <c r="R70" s="14"/>
      <c r="U70" s="14"/>
      <c r="V70" s="14"/>
      <c r="W70" s="14"/>
      <c r="X70" s="14"/>
    </row>
    <row r="71" spans="1:24">
      <c r="N71" s="14"/>
      <c r="O71" s="14"/>
      <c r="P71" s="14"/>
      <c r="Q71" s="14"/>
      <c r="R71" s="14"/>
      <c r="U71" s="14"/>
      <c r="V71" s="14"/>
      <c r="W71" s="14"/>
      <c r="X71" s="14"/>
    </row>
    <row r="72" spans="1:24">
      <c r="A72" s="18" t="s">
        <v>32</v>
      </c>
      <c r="B72" s="17"/>
      <c r="C72" s="17"/>
      <c r="D72" s="17"/>
      <c r="E72" s="17"/>
      <c r="F72" s="17"/>
      <c r="G72" s="17"/>
      <c r="H72" s="17"/>
      <c r="I72" s="17"/>
      <c r="N72" s="14"/>
      <c r="O72" s="14"/>
      <c r="P72" s="14"/>
      <c r="Q72" s="14"/>
      <c r="R72" s="14"/>
      <c r="U72" s="14"/>
      <c r="V72" s="14"/>
      <c r="W72" s="14"/>
      <c r="X72" s="14"/>
    </row>
    <row r="73" spans="1:24">
      <c r="A73" s="18" t="s">
        <v>31</v>
      </c>
      <c r="B73" s="17"/>
      <c r="C73" s="17"/>
      <c r="D73" s="17"/>
      <c r="E73" s="17"/>
      <c r="F73" s="17"/>
      <c r="G73" s="17"/>
      <c r="H73" s="17"/>
      <c r="I73" s="17"/>
      <c r="N73" s="14"/>
      <c r="O73" s="14"/>
      <c r="P73" s="14"/>
      <c r="Q73" s="14"/>
      <c r="R73" s="14"/>
      <c r="U73" s="14"/>
      <c r="V73" s="14"/>
      <c r="W73" s="14"/>
      <c r="X73" s="14"/>
    </row>
    <row r="74" spans="1:24">
      <c r="N74" s="14"/>
      <c r="O74" s="14"/>
      <c r="P74" s="14"/>
      <c r="Q74" s="14"/>
      <c r="R74" s="14"/>
      <c r="U74" s="14"/>
      <c r="V74" s="14"/>
      <c r="W74" s="14"/>
      <c r="X74" s="14"/>
    </row>
    <row r="75" spans="1:24">
      <c r="N75" s="14"/>
      <c r="O75" s="14"/>
      <c r="P75" s="14"/>
      <c r="Q75" s="14"/>
      <c r="R75" s="14"/>
      <c r="U75" s="14"/>
      <c r="V75" s="14"/>
      <c r="W75" s="14"/>
      <c r="X75" s="14"/>
    </row>
    <row r="76" spans="1:24">
      <c r="B76" s="241"/>
      <c r="C76" s="241" t="s">
        <v>30</v>
      </c>
      <c r="D76" s="241"/>
      <c r="E76" s="241"/>
      <c r="F76" s="241"/>
      <c r="G76" s="241"/>
      <c r="H76" s="241"/>
      <c r="N76" s="14"/>
      <c r="O76" s="14"/>
      <c r="P76" s="14"/>
      <c r="Q76" s="14"/>
      <c r="R76" s="14"/>
      <c r="U76" s="14"/>
      <c r="V76" s="14"/>
      <c r="W76" s="14"/>
      <c r="X76" s="14"/>
    </row>
    <row r="77" spans="1:24">
      <c r="B77" s="241"/>
      <c r="C77" s="6" t="s">
        <v>13</v>
      </c>
      <c r="D77" s="6" t="s">
        <v>14</v>
      </c>
      <c r="E77" s="6" t="s">
        <v>15</v>
      </c>
      <c r="F77" s="6" t="s">
        <v>16</v>
      </c>
      <c r="G77" s="6" t="s">
        <v>17</v>
      </c>
      <c r="H77" s="6" t="s">
        <v>18</v>
      </c>
      <c r="N77" s="14"/>
      <c r="O77" s="14"/>
      <c r="P77" s="14"/>
      <c r="Q77" s="14"/>
      <c r="R77" s="14"/>
      <c r="U77" s="14"/>
      <c r="V77" s="14"/>
      <c r="W77" s="14"/>
      <c r="X77" s="14"/>
    </row>
    <row r="78" spans="1:24">
      <c r="B78" s="6" t="s">
        <v>13</v>
      </c>
      <c r="C78" s="8">
        <f t="shared" ref="C78:H78" si="0">2-(C63+1)</f>
        <v>0</v>
      </c>
      <c r="D78" s="8">
        <f t="shared" si="0"/>
        <v>1.2495759114843024</v>
      </c>
      <c r="E78" s="8">
        <f t="shared" si="0"/>
        <v>0.76271328453273379</v>
      </c>
      <c r="F78" s="8">
        <f t="shared" si="0"/>
        <v>1.8168597104012834</v>
      </c>
      <c r="G78" s="8">
        <f t="shared" si="0"/>
        <v>1.165144564768954</v>
      </c>
      <c r="H78" s="8">
        <f t="shared" si="0"/>
        <v>0.72092184717428109</v>
      </c>
      <c r="N78" s="14"/>
      <c r="O78" s="14"/>
      <c r="P78" s="14"/>
      <c r="Q78" s="14"/>
      <c r="R78" s="14"/>
      <c r="U78" s="14"/>
      <c r="V78" s="14"/>
      <c r="W78" s="14"/>
      <c r="X78" s="14"/>
    </row>
    <row r="79" spans="1:24">
      <c r="B79" s="6" t="s">
        <v>14</v>
      </c>
      <c r="C79" s="8">
        <f t="shared" ref="C79:H79" si="1">2-(C64+1)</f>
        <v>1.2495759114843024</v>
      </c>
      <c r="D79" s="8">
        <f t="shared" si="1"/>
        <v>0</v>
      </c>
      <c r="E79" s="8">
        <f t="shared" si="1"/>
        <v>0.65454388494082072</v>
      </c>
      <c r="F79" s="8">
        <f t="shared" si="1"/>
        <v>0.50294916442647519</v>
      </c>
      <c r="G79" s="8">
        <f t="shared" si="1"/>
        <v>0.74485268160687057</v>
      </c>
      <c r="H79" s="8">
        <f t="shared" si="1"/>
        <v>0.31454389988194853</v>
      </c>
      <c r="N79" s="14"/>
      <c r="O79" s="14"/>
      <c r="P79" s="14"/>
      <c r="Q79" s="14"/>
      <c r="R79" s="14"/>
      <c r="U79" s="14"/>
      <c r="V79" s="14"/>
      <c r="W79" s="14"/>
      <c r="X79" s="14"/>
    </row>
    <row r="80" spans="1:24">
      <c r="B80" s="6" t="s">
        <v>15</v>
      </c>
      <c r="C80" s="8">
        <f t="shared" ref="C80:H80" si="2">2-(C65+1)</f>
        <v>0.76271328453273379</v>
      </c>
      <c r="D80" s="8">
        <f t="shared" si="2"/>
        <v>0.65454388494082072</v>
      </c>
      <c r="E80" s="8">
        <f t="shared" si="2"/>
        <v>0</v>
      </c>
      <c r="F80" s="8">
        <f t="shared" si="2"/>
        <v>1.3908904146519701</v>
      </c>
      <c r="G80" s="8">
        <f t="shared" si="2"/>
        <v>1.6204546797288586</v>
      </c>
      <c r="H80" s="8">
        <f t="shared" si="2"/>
        <v>0.11704615676417784</v>
      </c>
      <c r="N80" s="14"/>
      <c r="O80" s="14"/>
      <c r="P80" s="14"/>
      <c r="Q80" s="14"/>
      <c r="R80" s="14"/>
      <c r="U80" s="14"/>
      <c r="V80" s="14"/>
      <c r="W80" s="14"/>
      <c r="X80" s="14"/>
    </row>
    <row r="81" spans="1:24">
      <c r="B81" s="6" t="s">
        <v>16</v>
      </c>
      <c r="C81" s="8">
        <f t="shared" ref="C81:H81" si="3">2-(C66+1)</f>
        <v>1.8168597104012834</v>
      </c>
      <c r="D81" s="8">
        <f t="shared" si="3"/>
        <v>0.50294916442647497</v>
      </c>
      <c r="E81" s="8">
        <f t="shared" si="3"/>
        <v>1.3908904146519701</v>
      </c>
      <c r="F81" s="8">
        <f t="shared" si="3"/>
        <v>0</v>
      </c>
      <c r="G81" s="8">
        <f t="shared" si="3"/>
        <v>0.33449362266586524</v>
      </c>
      <c r="H81" s="8">
        <f t="shared" si="3"/>
        <v>1.2026379547524817</v>
      </c>
      <c r="N81" s="14"/>
      <c r="O81" s="14"/>
      <c r="P81" s="14"/>
      <c r="Q81" s="14"/>
      <c r="R81" s="14"/>
      <c r="U81" s="14"/>
      <c r="V81" s="14"/>
      <c r="W81" s="14"/>
      <c r="X81" s="14"/>
    </row>
    <row r="82" spans="1:24">
      <c r="B82" s="6" t="s">
        <v>17</v>
      </c>
      <c r="C82" s="8">
        <f t="shared" ref="C82:H82" si="4">2-(C67+1)</f>
        <v>1.165144564768954</v>
      </c>
      <c r="D82" s="8">
        <f t="shared" si="4"/>
        <v>0.74485268160687057</v>
      </c>
      <c r="E82" s="8">
        <f t="shared" si="4"/>
        <v>1.6204546797288586</v>
      </c>
      <c r="F82" s="8">
        <f t="shared" si="4"/>
        <v>0.33449362266586524</v>
      </c>
      <c r="G82" s="8">
        <f t="shared" si="4"/>
        <v>0</v>
      </c>
      <c r="H82" s="8">
        <f t="shared" si="4"/>
        <v>1.3072549338995134</v>
      </c>
      <c r="N82" s="14"/>
      <c r="O82" s="14"/>
      <c r="P82" s="14"/>
      <c r="Q82" s="14"/>
      <c r="R82" s="14"/>
      <c r="U82" s="14"/>
      <c r="V82" s="14"/>
      <c r="W82" s="14"/>
      <c r="X82" s="14"/>
    </row>
    <row r="83" spans="1:24">
      <c r="B83" s="6" t="s">
        <v>18</v>
      </c>
      <c r="C83" s="8">
        <f t="shared" ref="C83:H83" si="5">2-(C68+1)</f>
        <v>0.72092184717428109</v>
      </c>
      <c r="D83" s="8">
        <f t="shared" si="5"/>
        <v>0.31454389988194853</v>
      </c>
      <c r="E83" s="8">
        <f t="shared" si="5"/>
        <v>0.11704615676417784</v>
      </c>
      <c r="F83" s="8">
        <f t="shared" si="5"/>
        <v>1.2026379547524817</v>
      </c>
      <c r="G83" s="8">
        <f t="shared" si="5"/>
        <v>1.3072549338995134</v>
      </c>
      <c r="H83" s="8">
        <f t="shared" si="5"/>
        <v>0</v>
      </c>
      <c r="N83" s="14"/>
      <c r="O83" s="14"/>
      <c r="P83" s="14"/>
      <c r="Q83" s="14"/>
      <c r="R83" s="14"/>
      <c r="U83" s="14"/>
      <c r="V83" s="14"/>
      <c r="W83" s="14"/>
      <c r="X83" s="14"/>
    </row>
    <row r="84" spans="1:24">
      <c r="N84" s="14"/>
      <c r="O84" s="14"/>
      <c r="P84" s="14"/>
      <c r="Q84" s="14"/>
      <c r="R84" s="14"/>
      <c r="U84" s="14"/>
      <c r="V84" s="14"/>
      <c r="W84" s="14"/>
      <c r="X84" s="14"/>
    </row>
    <row r="85" spans="1:24">
      <c r="N85" s="14"/>
      <c r="O85" s="14"/>
      <c r="P85" s="14"/>
      <c r="Q85" s="14"/>
      <c r="R85" s="14"/>
      <c r="U85" s="14"/>
      <c r="V85" s="14"/>
      <c r="W85" s="14"/>
      <c r="X85" s="14"/>
    </row>
    <row r="86" spans="1:24">
      <c r="N86" s="14"/>
      <c r="O86" s="14"/>
      <c r="P86" s="14"/>
      <c r="Q86" s="14"/>
      <c r="R86" s="14"/>
      <c r="U86" s="14"/>
      <c r="V86" s="14"/>
      <c r="W86" s="14"/>
      <c r="X86" s="14"/>
    </row>
    <row r="87" spans="1:24">
      <c r="A87" s="18" t="s">
        <v>33</v>
      </c>
      <c r="B87" s="17"/>
      <c r="C87" s="17"/>
      <c r="D87" s="17"/>
      <c r="E87" s="17"/>
      <c r="F87" s="17"/>
      <c r="G87" s="17"/>
      <c r="H87" s="17"/>
      <c r="I87" s="17"/>
      <c r="N87" s="14"/>
      <c r="O87" s="14"/>
      <c r="P87" s="14"/>
      <c r="Q87" s="14"/>
      <c r="R87" s="14"/>
      <c r="U87" s="14"/>
      <c r="V87" s="14"/>
      <c r="W87" s="14"/>
      <c r="X87" s="14"/>
    </row>
    <row r="88" spans="1:24">
      <c r="N88" s="14"/>
      <c r="O88" s="14"/>
      <c r="P88" s="14"/>
      <c r="Q88" s="14"/>
      <c r="R88" s="14"/>
      <c r="U88" s="14"/>
      <c r="V88" s="14"/>
      <c r="W88" s="14"/>
      <c r="X88" s="14"/>
    </row>
    <row r="89" spans="1:24">
      <c r="N89" s="14"/>
      <c r="O89" s="14"/>
      <c r="P89" s="14"/>
      <c r="Q89" s="14"/>
      <c r="R89" s="14"/>
      <c r="U89" s="14"/>
      <c r="V89" s="14"/>
      <c r="W89" s="14"/>
      <c r="X89" s="14"/>
    </row>
    <row r="90" spans="1:24">
      <c r="B90" s="6" t="s">
        <v>22</v>
      </c>
      <c r="C90" s="2" t="s">
        <v>34</v>
      </c>
      <c r="D90" s="2"/>
      <c r="E90" s="2"/>
      <c r="F90" s="2"/>
      <c r="G90" s="2"/>
      <c r="H90" s="2"/>
      <c r="N90" s="14"/>
      <c r="O90" s="14"/>
      <c r="P90" s="14"/>
      <c r="Q90" s="14"/>
      <c r="R90" s="14"/>
      <c r="U90" s="14"/>
      <c r="V90" s="14"/>
      <c r="W90" s="14"/>
      <c r="X90" s="14"/>
    </row>
    <row r="91" spans="1:24">
      <c r="C91" s="2"/>
      <c r="D91" s="2"/>
      <c r="E91" s="2"/>
      <c r="F91" s="2"/>
      <c r="G91" s="2"/>
      <c r="H91" s="2"/>
      <c r="N91" s="14"/>
      <c r="O91" s="14"/>
      <c r="P91" s="14"/>
      <c r="Q91" s="14"/>
      <c r="R91" s="14"/>
      <c r="U91" s="14"/>
      <c r="V91" s="14"/>
      <c r="W91" s="14"/>
      <c r="X91" s="14"/>
    </row>
    <row r="92" spans="1:24">
      <c r="C92" s="2" t="s">
        <v>36</v>
      </c>
      <c r="D92" s="2"/>
      <c r="E92" s="2"/>
      <c r="F92" s="2"/>
      <c r="G92" s="2"/>
      <c r="H92" s="2"/>
      <c r="N92" s="14"/>
      <c r="O92" s="14"/>
      <c r="P92" s="14"/>
      <c r="Q92" s="14"/>
      <c r="R92" s="14"/>
      <c r="U92" s="14"/>
      <c r="V92" s="14"/>
      <c r="W92" s="14"/>
      <c r="X92" s="14"/>
    </row>
    <row r="93" spans="1:24">
      <c r="C93" s="2"/>
      <c r="D93" s="2"/>
      <c r="E93" s="2"/>
      <c r="F93" s="2"/>
      <c r="G93" s="2"/>
      <c r="H93" s="2"/>
      <c r="N93" s="14"/>
      <c r="O93" s="14"/>
      <c r="P93" s="14"/>
      <c r="Q93" s="14"/>
      <c r="R93" s="14"/>
      <c r="U93" s="14"/>
      <c r="V93" s="14"/>
      <c r="W93" s="14"/>
      <c r="X93" s="14"/>
    </row>
    <row r="94" spans="1:24">
      <c r="C94" s="2" t="s">
        <v>37</v>
      </c>
      <c r="D94" s="2"/>
      <c r="E94" s="2"/>
      <c r="F94" s="2"/>
      <c r="G94" s="2"/>
      <c r="H94" s="2"/>
      <c r="N94" s="14"/>
      <c r="O94" s="14"/>
      <c r="P94" s="14"/>
      <c r="Q94" s="14"/>
      <c r="R94" s="14"/>
      <c r="U94" s="14"/>
      <c r="V94" s="14"/>
      <c r="W94" s="14"/>
      <c r="X94" s="14"/>
    </row>
    <row r="95" spans="1:24">
      <c r="C95" s="2"/>
      <c r="D95" s="2"/>
      <c r="E95" s="2"/>
      <c r="F95" s="2"/>
      <c r="G95" s="2"/>
      <c r="H95" s="2"/>
      <c r="N95" s="14"/>
      <c r="O95" s="14"/>
      <c r="P95" s="14"/>
      <c r="Q95" s="14"/>
      <c r="R95" s="14"/>
      <c r="U95" s="14"/>
      <c r="V95" s="14"/>
      <c r="W95" s="14"/>
      <c r="X95" s="14"/>
    </row>
    <row r="96" spans="1:24">
      <c r="C96" s="2" t="s">
        <v>38</v>
      </c>
      <c r="D96" s="2"/>
      <c r="E96" s="2"/>
      <c r="F96" s="2"/>
      <c r="G96" s="2"/>
      <c r="H96" s="2"/>
      <c r="N96" s="14"/>
      <c r="O96" s="14"/>
      <c r="P96" s="14"/>
      <c r="Q96" s="14"/>
      <c r="R96" s="14"/>
      <c r="U96" s="14"/>
      <c r="V96" s="14"/>
      <c r="W96" s="14"/>
      <c r="X96" s="14"/>
    </row>
    <row r="97" spans="1:24">
      <c r="C97" s="2" t="s">
        <v>39</v>
      </c>
      <c r="D97" s="2"/>
      <c r="E97" s="2"/>
      <c r="F97" s="2"/>
      <c r="G97" s="2"/>
      <c r="H97" s="2"/>
      <c r="N97" s="14"/>
      <c r="O97" s="14"/>
      <c r="P97" s="14"/>
      <c r="Q97" s="14"/>
      <c r="R97" s="14"/>
      <c r="U97" s="14"/>
      <c r="V97" s="14"/>
      <c r="W97" s="14"/>
      <c r="X97" s="14"/>
    </row>
    <row r="98" spans="1:24">
      <c r="C98" s="2"/>
      <c r="D98" s="2"/>
      <c r="E98" s="2"/>
      <c r="F98" s="2"/>
      <c r="G98" s="2"/>
      <c r="H98" s="2"/>
      <c r="N98" s="14"/>
      <c r="O98" s="14"/>
      <c r="P98" s="14"/>
      <c r="Q98" s="14"/>
      <c r="R98" s="14"/>
      <c r="U98" s="14"/>
      <c r="V98" s="14"/>
      <c r="W98" s="14"/>
      <c r="X98" s="14"/>
    </row>
    <row r="99" spans="1:24">
      <c r="C99" s="2" t="s">
        <v>40</v>
      </c>
      <c r="D99" s="2"/>
      <c r="E99" s="2"/>
      <c r="F99" s="2"/>
      <c r="G99" s="2"/>
      <c r="H99" s="2"/>
      <c r="N99" s="14"/>
      <c r="O99" s="14"/>
      <c r="P99" s="14"/>
      <c r="Q99" s="14"/>
      <c r="R99" s="14"/>
      <c r="U99" s="14"/>
      <c r="V99" s="14"/>
      <c r="W99" s="14"/>
      <c r="X99" s="14"/>
    </row>
    <row r="100" spans="1:24">
      <c r="C100" s="2" t="s">
        <v>41</v>
      </c>
      <c r="D100" s="2"/>
      <c r="E100" s="2"/>
      <c r="F100" s="2"/>
      <c r="G100" s="2"/>
      <c r="H100" s="2"/>
      <c r="N100" s="14"/>
      <c r="O100" s="14"/>
      <c r="P100" s="14"/>
      <c r="Q100" s="14"/>
      <c r="R100" s="14"/>
      <c r="U100" s="14"/>
      <c r="V100" s="14"/>
      <c r="W100" s="14"/>
      <c r="X100" s="14"/>
    </row>
    <row r="101" spans="1:24">
      <c r="C101" s="2"/>
      <c r="D101" s="2"/>
      <c r="E101" s="2"/>
      <c r="F101" s="2"/>
      <c r="G101" s="2"/>
      <c r="H101" s="2"/>
      <c r="N101" s="14"/>
      <c r="O101" s="14"/>
      <c r="P101" s="14"/>
      <c r="Q101" s="14"/>
      <c r="R101" s="14"/>
      <c r="U101" s="14"/>
      <c r="V101" s="14"/>
      <c r="W101" s="14"/>
      <c r="X101" s="14"/>
    </row>
    <row r="102" spans="1:24">
      <c r="C102" s="2" t="s">
        <v>42</v>
      </c>
      <c r="D102" s="2"/>
      <c r="E102" s="2"/>
      <c r="F102" s="2"/>
      <c r="G102" s="2"/>
      <c r="H102" s="2"/>
      <c r="N102" s="14"/>
      <c r="O102" s="14"/>
      <c r="P102" s="14"/>
      <c r="Q102" s="14"/>
      <c r="R102" s="14"/>
      <c r="U102" s="14"/>
      <c r="V102" s="14"/>
      <c r="W102" s="14"/>
      <c r="X102" s="14"/>
    </row>
    <row r="103" spans="1:24">
      <c r="C103" s="2" t="s">
        <v>43</v>
      </c>
      <c r="D103" s="2"/>
      <c r="E103" s="2"/>
      <c r="F103" s="2"/>
      <c r="G103" s="2"/>
      <c r="H103" s="2"/>
      <c r="N103" s="14"/>
      <c r="O103" s="14"/>
      <c r="P103" s="14"/>
      <c r="Q103" s="14"/>
      <c r="R103" s="14"/>
      <c r="U103" s="14"/>
      <c r="V103" s="14"/>
      <c r="W103" s="14"/>
      <c r="X103" s="14"/>
    </row>
    <row r="104" spans="1:24">
      <c r="N104" s="14"/>
      <c r="O104" s="14"/>
      <c r="P104" s="14"/>
      <c r="Q104" s="14"/>
      <c r="R104" s="14"/>
      <c r="U104" s="14"/>
      <c r="V104" s="14"/>
      <c r="W104" s="14"/>
      <c r="X104" s="14"/>
    </row>
    <row r="105" spans="1:24">
      <c r="N105" s="14"/>
      <c r="O105" s="14"/>
      <c r="P105" s="14"/>
      <c r="Q105" s="14"/>
      <c r="R105" s="14"/>
      <c r="U105" s="14"/>
      <c r="V105" s="14"/>
      <c r="W105" s="14"/>
      <c r="X105" s="14"/>
    </row>
    <row r="106" spans="1:24">
      <c r="N106" s="14"/>
      <c r="O106" s="14"/>
      <c r="P106" s="14"/>
      <c r="Q106" s="14"/>
      <c r="R106" s="14"/>
      <c r="U106" s="14"/>
      <c r="V106" s="14"/>
      <c r="W106" s="14"/>
      <c r="X106" s="14"/>
    </row>
    <row r="107" spans="1:24">
      <c r="A107" s="18" t="s">
        <v>44</v>
      </c>
      <c r="B107" s="17"/>
      <c r="C107" s="17"/>
      <c r="D107" s="17"/>
      <c r="E107" s="17"/>
      <c r="F107" s="17"/>
      <c r="G107" s="17"/>
      <c r="H107" s="17"/>
      <c r="I107" s="17"/>
      <c r="N107" s="14"/>
      <c r="O107" s="14"/>
      <c r="P107" s="14"/>
      <c r="Q107" s="14"/>
      <c r="R107" s="14"/>
      <c r="U107" s="14"/>
      <c r="V107" s="14"/>
      <c r="W107" s="14"/>
      <c r="X107" s="14"/>
    </row>
    <row r="108" spans="1:24">
      <c r="N108" s="14"/>
      <c r="O108" s="14"/>
      <c r="P108" s="14"/>
      <c r="Q108" s="14"/>
      <c r="R108" s="14"/>
      <c r="U108" s="14"/>
      <c r="V108" s="14"/>
      <c r="W108" s="14"/>
      <c r="X108" s="14"/>
    </row>
    <row r="109" spans="1:24">
      <c r="N109" s="14"/>
      <c r="O109" s="14"/>
      <c r="P109" s="14"/>
      <c r="Q109" s="14"/>
      <c r="R109" s="14"/>
      <c r="U109" s="14"/>
      <c r="V109" s="14"/>
      <c r="W109" s="14"/>
      <c r="X109" s="14"/>
    </row>
    <row r="110" spans="1:24">
      <c r="B110" s="7"/>
      <c r="C110" s="7"/>
      <c r="D110" s="7"/>
      <c r="E110" s="7"/>
      <c r="F110" s="7"/>
      <c r="G110" s="7"/>
      <c r="H110" s="7"/>
      <c r="N110" s="14"/>
      <c r="O110" s="14"/>
      <c r="P110" s="14"/>
      <c r="Q110" s="14"/>
      <c r="R110" s="14"/>
      <c r="U110" s="14"/>
      <c r="V110" s="14"/>
      <c r="W110" s="14"/>
      <c r="X110" s="14"/>
    </row>
    <row r="111" spans="1:24">
      <c r="B111" s="7"/>
      <c r="C111" s="7"/>
      <c r="D111" s="7"/>
      <c r="E111" s="7"/>
      <c r="F111" s="7"/>
      <c r="G111" s="7"/>
      <c r="H111" s="7"/>
      <c r="N111" s="14"/>
      <c r="O111" s="14"/>
      <c r="P111" s="14"/>
      <c r="Q111" s="14"/>
      <c r="R111" s="14"/>
      <c r="U111" s="14"/>
      <c r="V111" s="14"/>
      <c r="W111" s="14"/>
      <c r="X111" s="14"/>
    </row>
    <row r="112" spans="1:24">
      <c r="B112" s="7"/>
      <c r="C112" s="7"/>
      <c r="D112" s="7"/>
      <c r="E112" s="7"/>
      <c r="F112" s="7"/>
      <c r="G112" s="7"/>
      <c r="H112" s="7"/>
      <c r="N112" s="14"/>
      <c r="O112" s="14"/>
      <c r="P112" s="14"/>
      <c r="Q112" s="14"/>
      <c r="R112" s="14"/>
      <c r="U112" s="14"/>
      <c r="V112" s="14"/>
      <c r="W112" s="14"/>
      <c r="X112" s="14"/>
    </row>
    <row r="113" spans="2:24">
      <c r="B113" s="7"/>
      <c r="C113" s="7"/>
      <c r="D113" s="7"/>
      <c r="E113" s="7"/>
      <c r="F113" s="7"/>
      <c r="G113" s="7"/>
      <c r="H113" s="7"/>
      <c r="N113" s="14"/>
      <c r="O113" s="14"/>
      <c r="P113" s="14"/>
      <c r="Q113" s="14"/>
      <c r="R113" s="14"/>
      <c r="U113" s="14"/>
      <c r="V113" s="14"/>
      <c r="W113" s="14"/>
      <c r="X113" s="14"/>
    </row>
    <row r="114" spans="2:24">
      <c r="B114" s="7"/>
      <c r="C114" s="7"/>
      <c r="D114" s="7"/>
      <c r="E114" s="7"/>
      <c r="F114" s="7"/>
      <c r="G114" s="7"/>
      <c r="H114" s="7"/>
      <c r="N114" s="14"/>
      <c r="O114" s="14"/>
      <c r="P114" s="14"/>
      <c r="Q114" s="14"/>
      <c r="R114" s="14"/>
      <c r="U114" s="14"/>
      <c r="V114" s="14"/>
      <c r="W114" s="14"/>
      <c r="X114" s="14"/>
    </row>
    <row r="115" spans="2:24">
      <c r="B115" s="7"/>
      <c r="C115" s="7"/>
      <c r="D115" s="7"/>
      <c r="E115" s="7"/>
      <c r="F115" s="7"/>
      <c r="G115" s="7"/>
      <c r="H115" s="7"/>
      <c r="N115" s="14"/>
      <c r="O115" s="14"/>
      <c r="P115" s="14"/>
      <c r="Q115" s="14"/>
      <c r="R115" s="14"/>
      <c r="U115" s="14"/>
      <c r="V115" s="14"/>
      <c r="W115" s="14"/>
      <c r="X115" s="14"/>
    </row>
    <row r="116" spans="2:24">
      <c r="B116" s="7"/>
      <c r="C116" s="7"/>
      <c r="D116" s="7"/>
      <c r="E116" s="7"/>
      <c r="F116" s="7"/>
      <c r="G116" s="7"/>
      <c r="H116" s="7"/>
      <c r="N116" s="14"/>
      <c r="O116" s="14"/>
      <c r="P116" s="14"/>
      <c r="Q116" s="14"/>
      <c r="R116" s="14"/>
      <c r="U116" s="14"/>
      <c r="V116" s="14"/>
      <c r="W116" s="14"/>
      <c r="X116" s="14"/>
    </row>
    <row r="117" spans="2:24">
      <c r="B117" s="7"/>
      <c r="C117" s="7"/>
      <c r="D117" s="7"/>
      <c r="E117" s="7"/>
      <c r="F117" s="7"/>
      <c r="G117" s="7"/>
      <c r="H117" s="7"/>
      <c r="N117" s="14"/>
      <c r="O117" s="14"/>
      <c r="P117" s="14"/>
      <c r="Q117" s="14"/>
      <c r="R117" s="14"/>
      <c r="U117" s="14"/>
      <c r="V117" s="14"/>
      <c r="W117" s="14"/>
      <c r="X117" s="14"/>
    </row>
    <row r="118" spans="2:24">
      <c r="B118" s="7"/>
      <c r="C118" s="7"/>
      <c r="D118" s="7"/>
      <c r="E118" s="7"/>
      <c r="F118" s="7"/>
      <c r="G118" s="7"/>
      <c r="H118" s="7"/>
      <c r="N118" s="14"/>
      <c r="O118" s="14"/>
      <c r="P118" s="14"/>
      <c r="Q118" s="14"/>
      <c r="R118" s="14"/>
      <c r="U118" s="14"/>
      <c r="V118" s="14"/>
      <c r="W118" s="14"/>
      <c r="X118" s="14"/>
    </row>
    <row r="119" spans="2:24">
      <c r="B119" s="7"/>
      <c r="C119" s="7"/>
      <c r="D119" s="7" t="s">
        <v>45</v>
      </c>
      <c r="E119" s="7"/>
      <c r="F119" s="7"/>
      <c r="G119" s="7"/>
      <c r="H119" s="7"/>
      <c r="N119" s="14"/>
      <c r="O119" s="14"/>
      <c r="P119" s="14"/>
      <c r="Q119" s="14"/>
      <c r="R119" s="14"/>
      <c r="U119" s="14"/>
      <c r="V119" s="14"/>
      <c r="W119" s="14"/>
      <c r="X119" s="14"/>
    </row>
    <row r="120" spans="2:24">
      <c r="B120" s="7"/>
      <c r="C120" s="7"/>
      <c r="D120" s="7"/>
      <c r="E120" s="7"/>
      <c r="F120" s="7"/>
      <c r="G120" s="7"/>
      <c r="H120" s="7"/>
      <c r="N120" s="14"/>
      <c r="O120" s="14"/>
      <c r="P120" s="14"/>
      <c r="Q120" s="14"/>
      <c r="R120" s="14"/>
      <c r="U120" s="14"/>
      <c r="V120" s="14"/>
      <c r="W120" s="14"/>
      <c r="X120" s="14"/>
    </row>
    <row r="121" spans="2:24">
      <c r="B121" s="7"/>
      <c r="C121" s="7"/>
      <c r="D121" s="7"/>
      <c r="E121" s="7"/>
      <c r="F121" s="7"/>
      <c r="G121" s="7"/>
      <c r="H121" s="7"/>
      <c r="N121" s="14"/>
      <c r="O121" s="14"/>
      <c r="P121" s="14"/>
      <c r="Q121" s="14"/>
      <c r="R121" s="14"/>
      <c r="U121" s="14"/>
      <c r="V121" s="14"/>
      <c r="W121" s="14"/>
      <c r="X121" s="14"/>
    </row>
    <row r="122" spans="2:24">
      <c r="B122" s="7"/>
      <c r="C122" s="7"/>
      <c r="D122" s="7"/>
      <c r="E122" s="7"/>
      <c r="F122" s="7"/>
      <c r="G122" s="7"/>
      <c r="H122" s="7"/>
      <c r="N122" s="14"/>
      <c r="O122" s="14"/>
      <c r="P122" s="14"/>
      <c r="Q122" s="14"/>
      <c r="R122" s="14"/>
      <c r="U122" s="14"/>
      <c r="V122" s="14"/>
      <c r="W122" s="14"/>
      <c r="X122" s="14"/>
    </row>
    <row r="123" spans="2:24">
      <c r="B123" s="7"/>
      <c r="C123" s="7"/>
      <c r="D123" s="7"/>
      <c r="E123" s="7"/>
      <c r="F123" s="7"/>
      <c r="G123" s="7"/>
      <c r="H123" s="7"/>
      <c r="N123" s="14"/>
      <c r="O123" s="14"/>
      <c r="P123" s="14"/>
      <c r="Q123" s="14"/>
      <c r="R123" s="14"/>
      <c r="U123" s="14"/>
      <c r="V123" s="14"/>
      <c r="W123" s="14"/>
      <c r="X123" s="14"/>
    </row>
    <row r="124" spans="2:24">
      <c r="B124" s="7"/>
      <c r="C124" s="7"/>
      <c r="D124" s="7"/>
      <c r="E124" s="7"/>
      <c r="F124" s="7"/>
      <c r="G124" s="7"/>
      <c r="H124" s="7"/>
      <c r="N124" s="14"/>
      <c r="O124" s="14"/>
      <c r="P124" s="14"/>
      <c r="Q124" s="14"/>
      <c r="R124" s="14"/>
      <c r="U124" s="14"/>
      <c r="V124" s="14"/>
      <c r="W124" s="14"/>
      <c r="X124" s="14"/>
    </row>
    <row r="125" spans="2:24">
      <c r="B125" s="7"/>
      <c r="C125" s="7"/>
      <c r="D125" s="7"/>
      <c r="E125" s="7"/>
      <c r="F125" s="7"/>
      <c r="G125" s="7"/>
      <c r="H125" s="7"/>
      <c r="N125" s="14"/>
      <c r="O125" s="14"/>
      <c r="P125" s="14"/>
      <c r="Q125" s="14"/>
      <c r="R125" s="14"/>
      <c r="U125" s="14"/>
      <c r="V125" s="14"/>
      <c r="W125" s="14"/>
      <c r="X125" s="14"/>
    </row>
    <row r="126" spans="2:24">
      <c r="B126" s="7"/>
      <c r="C126" s="7"/>
      <c r="D126" s="7"/>
      <c r="E126" s="7"/>
      <c r="F126" s="7"/>
      <c r="G126" s="7"/>
      <c r="H126" s="7"/>
      <c r="N126" s="14"/>
      <c r="O126" s="14"/>
      <c r="P126" s="14"/>
      <c r="Q126" s="14"/>
      <c r="R126" s="14"/>
      <c r="U126" s="14"/>
      <c r="V126" s="14"/>
      <c r="W126" s="14"/>
      <c r="X126" s="14"/>
    </row>
    <row r="127" spans="2:24">
      <c r="B127" s="7"/>
      <c r="C127" s="7"/>
      <c r="D127" s="7"/>
      <c r="E127" s="7"/>
      <c r="F127" s="7"/>
      <c r="G127" s="7"/>
      <c r="H127" s="7"/>
      <c r="N127" s="14"/>
      <c r="O127" s="14"/>
      <c r="P127" s="14"/>
      <c r="Q127" s="14"/>
      <c r="R127" s="14"/>
      <c r="U127" s="14"/>
      <c r="V127" s="14"/>
      <c r="W127" s="14"/>
      <c r="X127" s="14"/>
    </row>
    <row r="128" spans="2:24">
      <c r="B128" s="7"/>
      <c r="C128" s="7"/>
      <c r="D128" s="7"/>
      <c r="E128" s="7"/>
      <c r="F128" s="7"/>
      <c r="G128" s="7"/>
      <c r="H128" s="7"/>
      <c r="N128" s="14"/>
      <c r="O128" s="14"/>
      <c r="P128" s="14"/>
      <c r="Q128" s="14"/>
      <c r="R128" s="14"/>
      <c r="U128" s="14"/>
      <c r="V128" s="14"/>
      <c r="W128" s="14"/>
      <c r="X128" s="14"/>
    </row>
    <row r="129" spans="1:24">
      <c r="B129" s="7"/>
      <c r="C129" s="7"/>
      <c r="D129" s="7"/>
      <c r="E129" s="7"/>
      <c r="F129" s="7"/>
      <c r="G129" s="7"/>
      <c r="H129" s="7"/>
      <c r="N129" s="14"/>
      <c r="O129" s="14"/>
      <c r="P129" s="14"/>
      <c r="Q129" s="14"/>
      <c r="R129" s="14"/>
      <c r="U129" s="14"/>
      <c r="V129" s="14"/>
      <c r="W129" s="14"/>
      <c r="X129" s="14"/>
    </row>
    <row r="130" spans="1:24">
      <c r="B130" s="7"/>
      <c r="C130" s="7"/>
      <c r="D130" s="7"/>
      <c r="E130" s="7"/>
      <c r="F130" s="7"/>
      <c r="G130" s="7"/>
      <c r="H130" s="7"/>
      <c r="N130" s="14"/>
      <c r="O130" s="14"/>
      <c r="P130" s="14"/>
      <c r="Q130" s="14"/>
      <c r="R130" s="14"/>
      <c r="U130" s="14"/>
      <c r="V130" s="14"/>
      <c r="W130" s="14"/>
      <c r="X130" s="14"/>
    </row>
    <row r="131" spans="1:24">
      <c r="B131" s="7"/>
      <c r="C131" s="7"/>
      <c r="D131" s="7"/>
      <c r="E131" s="7"/>
      <c r="F131" s="7"/>
      <c r="G131" s="7"/>
      <c r="H131" s="7"/>
      <c r="N131" s="14"/>
      <c r="O131" s="14"/>
      <c r="P131" s="14"/>
      <c r="Q131" s="14"/>
      <c r="R131" s="14"/>
      <c r="U131" s="14"/>
      <c r="V131" s="14"/>
      <c r="W131" s="14"/>
      <c r="X131" s="14"/>
    </row>
    <row r="132" spans="1:24">
      <c r="B132" s="7"/>
      <c r="C132" s="7"/>
      <c r="D132" s="7"/>
      <c r="E132" s="7"/>
      <c r="F132" s="7"/>
      <c r="G132" s="7"/>
      <c r="H132" s="7"/>
      <c r="N132" s="14"/>
      <c r="O132" s="14"/>
      <c r="P132" s="14"/>
      <c r="Q132" s="14"/>
      <c r="R132" s="14"/>
      <c r="U132" s="14"/>
      <c r="V132" s="14"/>
      <c r="W132" s="14"/>
      <c r="X132" s="14"/>
    </row>
    <row r="133" spans="1:24">
      <c r="B133" s="7"/>
      <c r="C133" s="7"/>
      <c r="D133" s="7"/>
      <c r="E133" s="7"/>
      <c r="F133" s="7"/>
      <c r="G133" s="7"/>
      <c r="H133" s="7"/>
      <c r="N133" s="14"/>
      <c r="O133" s="14"/>
      <c r="P133" s="14"/>
      <c r="Q133" s="14"/>
      <c r="R133" s="14"/>
      <c r="U133" s="14"/>
      <c r="V133" s="14"/>
      <c r="W133" s="14"/>
      <c r="X133" s="14"/>
    </row>
    <row r="134" spans="1:24">
      <c r="B134" s="7"/>
      <c r="C134" s="7"/>
      <c r="D134" s="7"/>
      <c r="E134" s="7"/>
      <c r="F134" s="7"/>
      <c r="G134" s="7"/>
      <c r="H134" s="7"/>
      <c r="N134" s="14"/>
      <c r="O134" s="14"/>
      <c r="P134" s="14"/>
      <c r="Q134" s="14"/>
      <c r="R134" s="14"/>
      <c r="U134" s="14"/>
      <c r="V134" s="14"/>
      <c r="W134" s="14"/>
      <c r="X134" s="14"/>
    </row>
    <row r="135" spans="1:24">
      <c r="B135" s="7"/>
      <c r="C135" s="7"/>
      <c r="D135" s="7"/>
      <c r="E135" s="7"/>
      <c r="F135" s="7"/>
      <c r="G135" s="7"/>
      <c r="H135" s="7"/>
      <c r="N135" s="14"/>
      <c r="O135" s="14"/>
      <c r="P135" s="14"/>
      <c r="Q135" s="14"/>
      <c r="R135" s="14"/>
      <c r="U135" s="14"/>
      <c r="V135" s="14"/>
      <c r="W135" s="14"/>
      <c r="X135" s="14"/>
    </row>
    <row r="136" spans="1:24">
      <c r="N136" s="14"/>
      <c r="O136" s="14"/>
      <c r="P136" s="14"/>
      <c r="Q136" s="14"/>
      <c r="R136" s="14"/>
      <c r="U136" s="14"/>
      <c r="V136" s="14"/>
      <c r="W136" s="14"/>
      <c r="X136" s="14"/>
    </row>
    <row r="137" spans="1:24">
      <c r="N137" s="14"/>
      <c r="O137" s="14"/>
      <c r="P137" s="14"/>
      <c r="Q137" s="14"/>
      <c r="R137" s="14"/>
      <c r="U137" s="14"/>
      <c r="V137" s="14"/>
      <c r="W137" s="14"/>
      <c r="X137" s="14"/>
    </row>
    <row r="138" spans="1:24">
      <c r="N138" s="14"/>
      <c r="O138" s="14"/>
      <c r="P138" s="14"/>
      <c r="Q138" s="14"/>
      <c r="R138" s="14"/>
      <c r="U138" s="14"/>
      <c r="V138" s="14"/>
      <c r="W138" s="14"/>
      <c r="X138" s="14"/>
    </row>
    <row r="139" spans="1:24">
      <c r="A139" s="18" t="s">
        <v>46</v>
      </c>
      <c r="B139" s="17"/>
      <c r="C139" s="17"/>
      <c r="D139" s="17"/>
      <c r="E139" s="17"/>
      <c r="F139" s="17"/>
      <c r="G139" s="17"/>
      <c r="H139" s="17"/>
      <c r="I139" s="17"/>
      <c r="N139" s="14"/>
      <c r="O139" s="14"/>
      <c r="P139" s="14"/>
      <c r="Q139" s="14"/>
      <c r="R139" s="14"/>
      <c r="U139" s="14"/>
      <c r="V139" s="14"/>
      <c r="W139" s="14"/>
      <c r="X139" s="14"/>
    </row>
    <row r="140" spans="1:24">
      <c r="N140" s="14"/>
      <c r="O140" s="14"/>
      <c r="P140" s="14"/>
      <c r="Q140" s="14"/>
      <c r="R140" s="14"/>
      <c r="U140" s="14"/>
      <c r="V140" s="14"/>
      <c r="W140" s="14"/>
      <c r="X140" s="14"/>
    </row>
    <row r="141" spans="1:24">
      <c r="N141" s="14"/>
      <c r="O141" s="14"/>
      <c r="P141" s="14"/>
      <c r="Q141" s="14"/>
      <c r="R141" s="14"/>
      <c r="U141" s="14"/>
      <c r="V141" s="14"/>
      <c r="W141" s="14"/>
      <c r="X141" s="14"/>
    </row>
    <row r="142" spans="1:24">
      <c r="B142" s="7"/>
      <c r="C142" s="7"/>
      <c r="D142" s="7"/>
      <c r="E142" s="7"/>
      <c r="F142" s="7"/>
      <c r="G142" s="7"/>
      <c r="H142" s="7"/>
      <c r="N142" s="14"/>
      <c r="O142" s="14"/>
      <c r="P142" s="14"/>
      <c r="Q142" s="14"/>
      <c r="R142" s="14"/>
      <c r="U142" s="14"/>
      <c r="V142" s="14"/>
      <c r="W142" s="14"/>
      <c r="X142" s="14"/>
    </row>
    <row r="143" spans="1:24">
      <c r="B143" s="7"/>
      <c r="C143" s="7"/>
      <c r="D143" s="7"/>
      <c r="E143" s="7"/>
      <c r="F143" s="7"/>
      <c r="G143" s="7"/>
      <c r="H143" s="7"/>
      <c r="N143" s="14"/>
      <c r="O143" s="14"/>
      <c r="P143" s="14"/>
      <c r="Q143" s="14"/>
      <c r="R143" s="14"/>
      <c r="U143" s="14"/>
      <c r="V143" s="14"/>
      <c r="W143" s="14"/>
      <c r="X143" s="14"/>
    </row>
    <row r="144" spans="1:24">
      <c r="B144" s="7"/>
      <c r="C144" s="7"/>
      <c r="D144" s="7"/>
      <c r="E144" s="7"/>
      <c r="F144" s="7"/>
      <c r="G144" s="7"/>
      <c r="H144" s="7"/>
      <c r="N144" s="14"/>
      <c r="O144" s="14"/>
      <c r="P144" s="14"/>
      <c r="Q144" s="14"/>
      <c r="R144" s="14"/>
      <c r="U144" s="14"/>
      <c r="V144" s="14"/>
      <c r="W144" s="14"/>
      <c r="X144" s="14"/>
    </row>
    <row r="145" spans="2:24">
      <c r="B145" s="7"/>
      <c r="C145" s="7"/>
      <c r="D145" s="7"/>
      <c r="E145" s="7"/>
      <c r="F145" s="7"/>
      <c r="G145" s="7"/>
      <c r="H145" s="7"/>
      <c r="N145" s="14"/>
      <c r="O145" s="14"/>
      <c r="P145" s="14"/>
      <c r="Q145" s="14"/>
      <c r="R145" s="14"/>
      <c r="U145" s="14"/>
      <c r="V145" s="14"/>
      <c r="W145" s="14"/>
      <c r="X145" s="14"/>
    </row>
    <row r="146" spans="2:24">
      <c r="B146" s="7"/>
      <c r="C146" s="7"/>
      <c r="D146" s="7"/>
      <c r="E146" s="7"/>
      <c r="F146" s="7"/>
      <c r="G146" s="7"/>
      <c r="H146" s="7"/>
      <c r="N146" s="14"/>
      <c r="O146" s="14"/>
      <c r="P146" s="14"/>
      <c r="Q146" s="14"/>
      <c r="R146" s="14"/>
      <c r="U146" s="14"/>
      <c r="V146" s="14"/>
      <c r="W146" s="14"/>
      <c r="X146" s="14"/>
    </row>
    <row r="147" spans="2:24">
      <c r="B147" s="7"/>
      <c r="C147" s="7"/>
      <c r="D147" s="7"/>
      <c r="E147" s="7"/>
      <c r="F147" s="7"/>
      <c r="G147" s="7"/>
      <c r="H147" s="7"/>
      <c r="N147" s="14"/>
      <c r="O147" s="14"/>
      <c r="P147" s="14"/>
      <c r="Q147" s="14"/>
      <c r="R147" s="14"/>
      <c r="U147" s="14"/>
      <c r="V147" s="14"/>
      <c r="W147" s="14"/>
      <c r="X147" s="14"/>
    </row>
    <row r="148" spans="2:24">
      <c r="B148" s="7"/>
      <c r="C148" s="7"/>
      <c r="D148" s="7"/>
      <c r="E148" s="7"/>
      <c r="F148" s="7"/>
      <c r="G148" s="7"/>
      <c r="H148" s="7"/>
      <c r="N148" s="14"/>
      <c r="O148" s="14"/>
      <c r="P148" s="14"/>
      <c r="Q148" s="14"/>
      <c r="R148" s="14"/>
      <c r="U148" s="14"/>
      <c r="V148" s="14"/>
      <c r="W148" s="14"/>
      <c r="X148" s="14"/>
    </row>
    <row r="149" spans="2:24">
      <c r="B149" s="7"/>
      <c r="C149" s="7"/>
      <c r="D149" s="7"/>
      <c r="E149" s="7"/>
      <c r="F149" s="7"/>
      <c r="G149" s="7"/>
      <c r="H149" s="7"/>
      <c r="N149" s="14"/>
      <c r="O149" s="14"/>
      <c r="P149" s="14"/>
      <c r="Q149" s="14"/>
      <c r="R149" s="14"/>
      <c r="U149" s="14"/>
      <c r="V149" s="14"/>
      <c r="W149" s="14"/>
      <c r="X149" s="14"/>
    </row>
    <row r="150" spans="2:24">
      <c r="B150" s="7"/>
      <c r="C150" s="7"/>
      <c r="D150" s="7"/>
      <c r="E150" s="7"/>
      <c r="F150" s="7"/>
      <c r="G150" s="7"/>
      <c r="H150" s="7"/>
      <c r="N150" s="14"/>
      <c r="O150" s="14"/>
      <c r="P150" s="14"/>
      <c r="Q150" s="14"/>
      <c r="R150" s="14"/>
      <c r="U150" s="14"/>
      <c r="V150" s="14"/>
      <c r="W150" s="14"/>
      <c r="X150" s="14"/>
    </row>
    <row r="151" spans="2:24">
      <c r="B151" s="7"/>
      <c r="C151" s="7"/>
      <c r="D151" s="7" t="s">
        <v>45</v>
      </c>
      <c r="E151" s="7"/>
      <c r="F151" s="7"/>
      <c r="G151" s="7"/>
      <c r="H151" s="7"/>
      <c r="N151" s="14"/>
      <c r="O151" s="14"/>
      <c r="P151" s="14"/>
      <c r="Q151" s="14"/>
      <c r="R151" s="14"/>
      <c r="U151" s="14"/>
      <c r="V151" s="14"/>
      <c r="W151" s="14"/>
      <c r="X151" s="14"/>
    </row>
    <row r="152" spans="2:24">
      <c r="B152" s="7"/>
      <c r="C152" s="7"/>
      <c r="D152" s="7"/>
      <c r="E152" s="7"/>
      <c r="F152" s="7"/>
      <c r="G152" s="7"/>
      <c r="H152" s="7"/>
      <c r="N152" s="14"/>
      <c r="O152" s="14"/>
      <c r="P152" s="14"/>
      <c r="Q152" s="14"/>
      <c r="R152" s="14"/>
      <c r="U152" s="14"/>
      <c r="V152" s="14"/>
      <c r="W152" s="14"/>
      <c r="X152" s="14"/>
    </row>
    <row r="153" spans="2:24">
      <c r="B153" s="7"/>
      <c r="C153" s="7"/>
      <c r="D153" s="7"/>
      <c r="E153" s="7"/>
      <c r="F153" s="7"/>
      <c r="G153" s="7"/>
      <c r="H153" s="7"/>
      <c r="N153" s="14"/>
      <c r="O153" s="14"/>
      <c r="P153" s="14"/>
      <c r="Q153" s="14"/>
      <c r="R153" s="14"/>
      <c r="U153" s="14"/>
      <c r="V153" s="14"/>
      <c r="W153" s="14"/>
      <c r="X153" s="14"/>
    </row>
    <row r="154" spans="2:24">
      <c r="B154" s="7"/>
      <c r="C154" s="7"/>
      <c r="D154" s="7"/>
      <c r="E154" s="7"/>
      <c r="F154" s="7"/>
      <c r="G154" s="7"/>
      <c r="H154" s="7"/>
      <c r="N154" s="14"/>
      <c r="O154" s="14"/>
      <c r="P154" s="14"/>
      <c r="Q154" s="14"/>
      <c r="R154" s="14"/>
      <c r="U154" s="14"/>
      <c r="V154" s="14"/>
      <c r="W154" s="14"/>
      <c r="X154" s="14"/>
    </row>
    <row r="155" spans="2:24">
      <c r="B155" s="7"/>
      <c r="C155" s="7"/>
      <c r="D155" s="7"/>
      <c r="E155" s="7"/>
      <c r="F155" s="7"/>
      <c r="G155" s="7"/>
      <c r="H155" s="7"/>
      <c r="N155" s="14"/>
      <c r="O155" s="14"/>
      <c r="P155" s="14"/>
      <c r="Q155" s="14"/>
      <c r="R155" s="14"/>
      <c r="U155" s="14"/>
      <c r="V155" s="14"/>
      <c r="W155" s="14"/>
      <c r="X155" s="14"/>
    </row>
    <row r="156" spans="2:24">
      <c r="B156" s="7"/>
      <c r="C156" s="7"/>
      <c r="D156" s="7"/>
      <c r="E156" s="7"/>
      <c r="F156" s="7"/>
      <c r="G156" s="7"/>
      <c r="H156" s="7"/>
      <c r="N156" s="14"/>
      <c r="O156" s="14"/>
      <c r="P156" s="14"/>
      <c r="Q156" s="14"/>
      <c r="R156" s="14"/>
      <c r="U156" s="14"/>
      <c r="V156" s="14"/>
      <c r="W156" s="14"/>
      <c r="X156" s="14"/>
    </row>
    <row r="157" spans="2:24">
      <c r="B157" s="7"/>
      <c r="C157" s="7"/>
      <c r="D157" s="7"/>
      <c r="E157" s="7"/>
      <c r="F157" s="7"/>
      <c r="G157" s="7"/>
      <c r="H157" s="7"/>
      <c r="N157" s="14"/>
      <c r="O157" s="14"/>
      <c r="P157" s="14"/>
      <c r="Q157" s="14"/>
      <c r="R157" s="14"/>
      <c r="U157" s="14"/>
      <c r="V157" s="14"/>
      <c r="W157" s="14"/>
      <c r="X157" s="14"/>
    </row>
    <row r="158" spans="2:24">
      <c r="B158" s="7"/>
      <c r="C158" s="7"/>
      <c r="D158" s="7"/>
      <c r="E158" s="7"/>
      <c r="F158" s="7"/>
      <c r="G158" s="7"/>
      <c r="H158" s="7"/>
      <c r="N158" s="14"/>
      <c r="O158" s="14"/>
      <c r="P158" s="14"/>
      <c r="Q158" s="14"/>
      <c r="R158" s="14"/>
      <c r="U158" s="14"/>
      <c r="V158" s="14"/>
      <c r="W158" s="14"/>
      <c r="X158" s="14"/>
    </row>
    <row r="159" spans="2:24">
      <c r="B159" s="7"/>
      <c r="C159" s="7"/>
      <c r="D159" s="7"/>
      <c r="E159" s="7"/>
      <c r="F159" s="7"/>
      <c r="G159" s="7"/>
      <c r="H159" s="7"/>
      <c r="N159" s="14"/>
      <c r="O159" s="14"/>
      <c r="P159" s="14"/>
      <c r="Q159" s="14"/>
      <c r="R159" s="14"/>
      <c r="U159" s="14"/>
      <c r="V159" s="14"/>
      <c r="W159" s="14"/>
      <c r="X159" s="14"/>
    </row>
    <row r="160" spans="2:24">
      <c r="B160" s="7"/>
      <c r="C160" s="7"/>
      <c r="D160" s="7"/>
      <c r="E160" s="7"/>
      <c r="F160" s="7"/>
      <c r="G160" s="7"/>
      <c r="H160" s="7"/>
      <c r="N160" s="14"/>
      <c r="O160" s="14"/>
      <c r="P160" s="14"/>
      <c r="Q160" s="14"/>
      <c r="R160" s="14"/>
      <c r="U160" s="14"/>
      <c r="V160" s="14"/>
      <c r="W160" s="14"/>
      <c r="X160" s="14"/>
    </row>
    <row r="161" spans="1:24">
      <c r="B161" s="7"/>
      <c r="C161" s="7"/>
      <c r="D161" s="7"/>
      <c r="E161" s="7"/>
      <c r="F161" s="7"/>
      <c r="G161" s="7"/>
      <c r="H161" s="7"/>
      <c r="N161" s="14"/>
      <c r="O161" s="14"/>
      <c r="P161" s="14"/>
      <c r="Q161" s="14"/>
      <c r="R161" s="14"/>
      <c r="U161" s="14"/>
      <c r="V161" s="14"/>
      <c r="W161" s="14"/>
      <c r="X161" s="14"/>
    </row>
    <row r="162" spans="1:24">
      <c r="B162" s="7"/>
      <c r="C162" s="7"/>
      <c r="D162" s="7"/>
      <c r="E162" s="7"/>
      <c r="F162" s="7"/>
      <c r="G162" s="7"/>
      <c r="H162" s="7"/>
      <c r="N162" s="14"/>
      <c r="O162" s="14"/>
      <c r="P162" s="14"/>
      <c r="Q162" s="14"/>
      <c r="R162" s="14"/>
      <c r="U162" s="14"/>
      <c r="V162" s="14"/>
      <c r="W162" s="14"/>
      <c r="X162" s="14"/>
    </row>
    <row r="163" spans="1:24">
      <c r="B163" s="7"/>
      <c r="C163" s="7"/>
      <c r="D163" s="7"/>
      <c r="E163" s="7"/>
      <c r="F163" s="7"/>
      <c r="G163" s="7"/>
      <c r="H163" s="7"/>
      <c r="N163" s="14"/>
      <c r="O163" s="14"/>
      <c r="P163" s="14"/>
      <c r="Q163" s="14"/>
      <c r="R163" s="14"/>
      <c r="U163" s="14"/>
      <c r="V163" s="14"/>
      <c r="W163" s="14"/>
      <c r="X163" s="14"/>
    </row>
    <row r="164" spans="1:24">
      <c r="B164" s="7"/>
      <c r="C164" s="7"/>
      <c r="D164" s="7"/>
      <c r="E164" s="7"/>
      <c r="F164" s="7"/>
      <c r="G164" s="7"/>
      <c r="H164" s="7"/>
    </row>
    <row r="165" spans="1:24">
      <c r="B165" s="7"/>
      <c r="C165" s="7"/>
      <c r="D165" s="7"/>
      <c r="E165" s="7"/>
      <c r="F165" s="7"/>
      <c r="G165" s="7"/>
      <c r="H165" s="7"/>
    </row>
    <row r="166" spans="1:24">
      <c r="B166" s="7"/>
      <c r="C166" s="7"/>
      <c r="D166" s="7"/>
      <c r="E166" s="7"/>
      <c r="F166" s="7"/>
      <c r="G166" s="7"/>
      <c r="H166" s="7"/>
    </row>
    <row r="167" spans="1:24">
      <c r="B167" s="7"/>
      <c r="C167" s="7"/>
      <c r="D167" s="7"/>
      <c r="E167" s="7"/>
      <c r="F167" s="7"/>
      <c r="G167" s="7"/>
      <c r="H167" s="7"/>
    </row>
    <row r="171" spans="1:24">
      <c r="A171" s="18" t="s">
        <v>47</v>
      </c>
      <c r="B171" s="17"/>
      <c r="C171" s="17"/>
      <c r="D171" s="17"/>
      <c r="E171" s="17"/>
      <c r="F171" s="17"/>
      <c r="G171" s="17"/>
      <c r="H171" s="17"/>
      <c r="I171" s="17"/>
    </row>
    <row r="174" spans="1:24">
      <c r="B174" s="6" t="s">
        <v>68</v>
      </c>
      <c r="C174" s="2"/>
      <c r="D174" s="2"/>
      <c r="E174" s="2"/>
      <c r="F174" s="2"/>
      <c r="G174" s="2"/>
      <c r="H174" s="2"/>
    </row>
    <row r="175" spans="1:24">
      <c r="C175" s="2"/>
      <c r="D175" s="2"/>
      <c r="E175" s="2"/>
      <c r="F175" s="2"/>
      <c r="G175" s="2"/>
      <c r="H175" s="2"/>
    </row>
    <row r="176" spans="1:24">
      <c r="C176" s="2"/>
      <c r="D176" s="2"/>
      <c r="E176" s="2"/>
      <c r="F176" s="2"/>
      <c r="G176" s="2"/>
      <c r="H176" s="2"/>
    </row>
    <row r="177" spans="2:8">
      <c r="C177" s="2"/>
      <c r="D177" s="2"/>
      <c r="E177" s="2"/>
      <c r="F177" s="2"/>
      <c r="G177" s="2"/>
      <c r="H177" s="2"/>
    </row>
    <row r="178" spans="2:8">
      <c r="C178" s="2"/>
      <c r="D178" s="2"/>
      <c r="E178" s="2"/>
      <c r="F178" s="2"/>
      <c r="G178" s="2"/>
      <c r="H178" s="2"/>
    </row>
    <row r="179" spans="2:8">
      <c r="C179" s="2"/>
      <c r="D179" s="2"/>
      <c r="E179" s="2"/>
      <c r="F179" s="2"/>
      <c r="G179" s="2"/>
      <c r="H179" s="2"/>
    </row>
    <row r="180" spans="2:8">
      <c r="C180" s="2"/>
      <c r="D180" s="2"/>
      <c r="E180" s="2"/>
      <c r="F180" s="2"/>
      <c r="G180" s="2"/>
      <c r="H180" s="2"/>
    </row>
    <row r="181" spans="2:8">
      <c r="C181" s="2"/>
      <c r="D181" s="2"/>
      <c r="E181" s="2"/>
      <c r="F181" s="2"/>
      <c r="G181" s="2"/>
      <c r="H181" s="2"/>
    </row>
    <row r="182" spans="2:8">
      <c r="C182" s="23" t="s">
        <v>69</v>
      </c>
      <c r="D182" s="2"/>
      <c r="E182" s="2"/>
      <c r="F182" s="2"/>
      <c r="G182" s="2"/>
      <c r="H182" s="2"/>
    </row>
    <row r="184" spans="2:8">
      <c r="B184" s="7" t="s">
        <v>48</v>
      </c>
      <c r="C184" s="240" t="s">
        <v>67</v>
      </c>
      <c r="D184" s="240"/>
      <c r="E184" s="240"/>
    </row>
    <row r="185" spans="2:8">
      <c r="B185" s="7"/>
      <c r="C185" s="6" t="s">
        <v>49</v>
      </c>
      <c r="D185" s="6" t="s">
        <v>50</v>
      </c>
      <c r="E185" s="6" t="s">
        <v>51</v>
      </c>
    </row>
    <row r="186" spans="2:8">
      <c r="B186" s="6" t="s">
        <v>52</v>
      </c>
      <c r="C186" s="8">
        <v>0.39958110451698303</v>
      </c>
      <c r="D186" s="8">
        <v>0.39958110451698303</v>
      </c>
      <c r="E186" s="8">
        <v>0.39958110451698303</v>
      </c>
    </row>
    <row r="187" spans="2:8">
      <c r="B187" s="6" t="s">
        <v>53</v>
      </c>
      <c r="C187" s="8">
        <v>0.71768105030059814</v>
      </c>
      <c r="D187" s="8">
        <v>0.71768105030059814</v>
      </c>
      <c r="E187" s="8">
        <v>0.71768105030059814</v>
      </c>
    </row>
    <row r="188" spans="2:8">
      <c r="B188" s="6" t="s">
        <v>54</v>
      </c>
      <c r="C188" s="8">
        <v>0.97153586149215698</v>
      </c>
      <c r="D188" s="8">
        <v>0.97153586149215698</v>
      </c>
      <c r="E188" s="8">
        <v>0.97153586149215698</v>
      </c>
    </row>
    <row r="189" spans="2:8">
      <c r="B189" s="6" t="s">
        <v>55</v>
      </c>
      <c r="C189" s="8">
        <v>1.0013258457183838</v>
      </c>
      <c r="D189" s="8">
        <v>1.0013258457183838</v>
      </c>
      <c r="E189" s="8">
        <v>1.0013258457183838</v>
      </c>
    </row>
    <row r="190" spans="2:8">
      <c r="B190" s="6" t="s">
        <v>56</v>
      </c>
      <c r="C190" s="8">
        <v>1.0072121620178223</v>
      </c>
      <c r="D190" s="8">
        <v>1.0072121620178223</v>
      </c>
      <c r="E190" s="8">
        <v>1.0072121620178223</v>
      </c>
    </row>
    <row r="191" spans="2:8">
      <c r="B191" s="6" t="s">
        <v>57</v>
      </c>
      <c r="C191" s="8">
        <v>1.3922829627990723</v>
      </c>
      <c r="D191" s="8">
        <v>1.3922829627990723</v>
      </c>
      <c r="E191" s="8">
        <v>1.3922829627990723</v>
      </c>
    </row>
    <row r="192" spans="2:8">
      <c r="B192" s="6" t="s">
        <v>58</v>
      </c>
      <c r="C192" s="8">
        <v>1.3948497772216797</v>
      </c>
      <c r="D192" s="8">
        <v>1.3948497772216797</v>
      </c>
      <c r="E192" s="8">
        <v>1.3948497772216797</v>
      </c>
    </row>
    <row r="193" spans="1:9">
      <c r="B193" s="6" t="s">
        <v>59</v>
      </c>
      <c r="C193" s="8">
        <v>1.6470934152603149</v>
      </c>
      <c r="D193" s="8">
        <v>1.6470934152603149</v>
      </c>
      <c r="E193" s="8">
        <v>1.6470934152603149</v>
      </c>
    </row>
    <row r="194" spans="1:9">
      <c r="B194" s="6" t="s">
        <v>60</v>
      </c>
      <c r="C194" s="8">
        <v>1.6713675260543823</v>
      </c>
      <c r="D194" s="8">
        <v>1.6713675260543823</v>
      </c>
      <c r="E194" s="8">
        <v>1.6713675260543823</v>
      </c>
    </row>
    <row r="195" spans="1:9">
      <c r="B195" s="6" t="s">
        <v>61</v>
      </c>
      <c r="C195" s="8">
        <v>1.6762751340866089</v>
      </c>
      <c r="D195" s="8">
        <v>1.6762751340866089</v>
      </c>
      <c r="E195" s="8">
        <v>1.6762751340866089</v>
      </c>
    </row>
    <row r="196" spans="1:9">
      <c r="B196" s="6" t="s">
        <v>62</v>
      </c>
      <c r="C196" s="8">
        <v>1.7723945379257202</v>
      </c>
      <c r="D196" s="8">
        <v>1.7723945379257202</v>
      </c>
      <c r="E196" s="8">
        <v>1.7723945379257202</v>
      </c>
    </row>
    <row r="197" spans="1:9">
      <c r="B197" s="6" t="s">
        <v>63</v>
      </c>
      <c r="C197" s="8">
        <v>1.772479772567749</v>
      </c>
      <c r="D197" s="8">
        <v>1.772479772567749</v>
      </c>
      <c r="E197" s="8">
        <v>1.772479772567749</v>
      </c>
    </row>
    <row r="198" spans="1:9">
      <c r="B198" s="6" t="s">
        <v>64</v>
      </c>
      <c r="C198" s="8">
        <v>2.0044350624084473</v>
      </c>
      <c r="D198" s="8">
        <v>2.0044350624084473</v>
      </c>
      <c r="E198" s="8">
        <v>2.0044350624084473</v>
      </c>
    </row>
    <row r="199" spans="1:9">
      <c r="B199" s="6" t="s">
        <v>65</v>
      </c>
      <c r="C199" s="8">
        <v>2.1703083515167236</v>
      </c>
      <c r="D199" s="8">
        <v>2.1703083515167236</v>
      </c>
      <c r="E199" s="8">
        <v>2.1703083515167236</v>
      </c>
    </row>
    <row r="200" spans="1:9">
      <c r="B200" s="6" t="s">
        <v>66</v>
      </c>
      <c r="C200" s="8">
        <v>2.269989013671875</v>
      </c>
      <c r="D200" s="8">
        <v>2.269989013671875</v>
      </c>
      <c r="E200" s="8">
        <v>2.269989013671875</v>
      </c>
    </row>
    <row r="204" spans="1:9">
      <c r="A204" s="24" t="s">
        <v>70</v>
      </c>
      <c r="B204" s="17"/>
      <c r="C204" s="17"/>
      <c r="D204" s="17"/>
      <c r="E204" s="17"/>
      <c r="F204" s="17"/>
      <c r="G204" s="17"/>
      <c r="H204" s="17"/>
      <c r="I204" s="17"/>
    </row>
    <row r="207" spans="1:9">
      <c r="B207" s="6" t="s">
        <v>71</v>
      </c>
      <c r="C207" s="22">
        <f>SQRT((SUMPRODUCT((C186:C200-E186:E200)^2))/SUMPRODUCT(C186:C200^2))</f>
        <v>0</v>
      </c>
    </row>
    <row r="209" spans="2:8">
      <c r="B209" s="6" t="s">
        <v>72</v>
      </c>
      <c r="C209" s="2"/>
      <c r="D209" s="2"/>
      <c r="E209" s="2"/>
      <c r="F209" s="2"/>
      <c r="G209" s="2"/>
      <c r="H209" s="2"/>
    </row>
    <row r="210" spans="2:8">
      <c r="C210" s="2"/>
      <c r="D210" s="2"/>
      <c r="E210" s="2"/>
      <c r="F210" s="2"/>
      <c r="G210" s="2"/>
      <c r="H210" s="2"/>
    </row>
    <row r="211" spans="2:8">
      <c r="C211" s="2"/>
      <c r="D211" s="2"/>
      <c r="E211" s="2"/>
      <c r="F211" s="2"/>
      <c r="G211" s="2"/>
      <c r="H211" s="2"/>
    </row>
    <row r="212" spans="2:8">
      <c r="C212" s="2"/>
      <c r="D212" s="2"/>
      <c r="E212" s="2"/>
      <c r="F212" s="2"/>
      <c r="G212" s="2"/>
      <c r="H212" s="2"/>
    </row>
    <row r="213" spans="2:8">
      <c r="C213" s="2"/>
      <c r="D213" s="2"/>
      <c r="E213" s="2"/>
      <c r="F213" s="2"/>
      <c r="G213" s="2"/>
      <c r="H213" s="2"/>
    </row>
    <row r="214" spans="2:8">
      <c r="C214" s="2"/>
      <c r="D214" s="2"/>
      <c r="E214" s="2"/>
      <c r="F214" s="2"/>
      <c r="G214" s="2"/>
      <c r="H214" s="2"/>
    </row>
    <row r="215" spans="2:8">
      <c r="C215" s="2"/>
      <c r="D215" s="2"/>
      <c r="E215" s="2"/>
      <c r="F215" s="2"/>
      <c r="G215" s="2"/>
      <c r="H215" s="2"/>
    </row>
    <row r="216" spans="2:8">
      <c r="C216" s="2"/>
      <c r="D216" s="2"/>
      <c r="E216" s="2"/>
      <c r="F216" s="2"/>
      <c r="G216" s="2"/>
      <c r="H216" s="2"/>
    </row>
    <row r="217" spans="2:8">
      <c r="C217" s="2"/>
      <c r="D217" s="2"/>
      <c r="E217" s="2"/>
      <c r="F217" s="2"/>
      <c r="G217" s="2"/>
      <c r="H217" s="2"/>
    </row>
    <row r="218" spans="2:8">
      <c r="C218" s="2"/>
      <c r="D218" s="2"/>
      <c r="E218" s="2"/>
      <c r="F218" s="2"/>
      <c r="G218" s="2"/>
      <c r="H218" s="2"/>
    </row>
    <row r="220" spans="2:8">
      <c r="B220" s="6" t="s">
        <v>73</v>
      </c>
      <c r="C220" s="2"/>
      <c r="D220" s="2"/>
      <c r="E220" s="2"/>
      <c r="F220" s="2"/>
      <c r="G220" s="2"/>
      <c r="H220" s="2"/>
    </row>
    <row r="221" spans="2:8">
      <c r="C221" s="2"/>
      <c r="D221" s="2"/>
      <c r="E221" s="2"/>
      <c r="F221" s="2"/>
      <c r="G221" s="2"/>
      <c r="H221" s="2"/>
    </row>
    <row r="222" spans="2:8">
      <c r="C222" s="2"/>
      <c r="D222" s="2"/>
      <c r="E222" s="2"/>
      <c r="F222" s="2"/>
      <c r="G222" s="2"/>
      <c r="H222" s="2"/>
    </row>
    <row r="223" spans="2:8">
      <c r="C223" s="2"/>
      <c r="D223" s="2"/>
      <c r="E223" s="2"/>
      <c r="F223" s="2"/>
      <c r="G223" s="2"/>
      <c r="H223" s="2"/>
    </row>
    <row r="224" spans="2:8">
      <c r="C224" s="2"/>
      <c r="D224" s="2"/>
      <c r="E224" s="2"/>
      <c r="F224" s="2"/>
      <c r="G224" s="2"/>
      <c r="H224" s="2"/>
    </row>
    <row r="225" spans="3:8">
      <c r="C225" s="2"/>
      <c r="D225" s="2"/>
      <c r="E225" s="2"/>
      <c r="F225" s="2"/>
      <c r="G225" s="2"/>
      <c r="H225" s="2"/>
    </row>
    <row r="226" spans="3:8">
      <c r="C226" s="2"/>
      <c r="D226" s="2"/>
      <c r="E226" s="2"/>
      <c r="F226" s="2"/>
      <c r="G226" s="2"/>
      <c r="H226" s="2"/>
    </row>
    <row r="227" spans="3:8">
      <c r="C227" s="2"/>
      <c r="D227" s="2"/>
      <c r="E227" s="2"/>
      <c r="F227" s="2"/>
      <c r="G227" s="2"/>
      <c r="H227" s="2"/>
    </row>
    <row r="228" spans="3:8">
      <c r="C228" s="2"/>
      <c r="D228" s="2"/>
      <c r="E228" s="2"/>
      <c r="F228" s="2"/>
      <c r="G228" s="2"/>
      <c r="H228" s="2"/>
    </row>
    <row r="229" spans="3:8">
      <c r="C229" s="2"/>
      <c r="D229" s="2"/>
      <c r="E229" s="2"/>
      <c r="F229" s="2"/>
      <c r="G229" s="2"/>
      <c r="H229" s="2"/>
    </row>
  </sheetData>
  <mergeCells count="5">
    <mergeCell ref="C184:E184"/>
    <mergeCell ref="B61:B62"/>
    <mergeCell ref="C61:H61"/>
    <mergeCell ref="B76:B77"/>
    <mergeCell ref="C76:H76"/>
  </mergeCells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4490" r:id="rId4">
          <objectPr defaultSize="0" autoPict="0" r:id="rId5">
            <anchor moveWithCells="1">
              <from>
                <xdr:col>1</xdr:col>
                <xdr:colOff>9525</xdr:colOff>
                <xdr:row>108</xdr:row>
                <xdr:rowOff>152400</xdr:rowOff>
              </from>
              <to>
                <xdr:col>8</xdr:col>
                <xdr:colOff>19050</xdr:colOff>
                <xdr:row>134</xdr:row>
                <xdr:rowOff>142875</xdr:rowOff>
              </to>
            </anchor>
          </objectPr>
        </oleObject>
      </mc:Choice>
      <mc:Fallback>
        <oleObject shapeId="104490" r:id="rId4"/>
      </mc:Fallback>
    </mc:AlternateContent>
    <mc:AlternateContent xmlns:mc="http://schemas.openxmlformats.org/markup-compatibility/2006">
      <mc:Choice Requires="x14">
        <oleObject shapeId="104492" r:id="rId6">
          <objectPr defaultSize="0" autoPict="0" r:id="rId7">
            <anchor moveWithCells="1">
              <from>
                <xdr:col>1</xdr:col>
                <xdr:colOff>0</xdr:colOff>
                <xdr:row>140</xdr:row>
                <xdr:rowOff>152400</xdr:rowOff>
              </from>
              <to>
                <xdr:col>8</xdr:col>
                <xdr:colOff>0</xdr:colOff>
                <xdr:row>167</xdr:row>
                <xdr:rowOff>0</xdr:rowOff>
              </to>
            </anchor>
          </objectPr>
        </oleObject>
      </mc:Choice>
      <mc:Fallback>
        <oleObject shapeId="10449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45"/>
  <sheetViews>
    <sheetView workbookViewId="0">
      <selection activeCell="I25" sqref="I25"/>
    </sheetView>
  </sheetViews>
  <sheetFormatPr baseColWidth="10" defaultRowHeight="12.75"/>
  <cols>
    <col min="4" max="4" width="15.28515625" customWidth="1"/>
    <col min="6" max="6" width="14.85546875" customWidth="1"/>
    <col min="7" max="7" width="13.140625" customWidth="1"/>
    <col min="9" max="9" width="16.42578125" customWidth="1"/>
    <col min="10" max="10" width="14.140625" customWidth="1"/>
    <col min="11" max="11" width="15.140625" customWidth="1"/>
  </cols>
  <sheetData>
    <row r="1" spans="1:53" s="10" customFormat="1" ht="20.25">
      <c r="A1" s="10" t="s">
        <v>74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>
      <c r="A7" s="242" t="s">
        <v>75</v>
      </c>
      <c r="B7" s="9" t="s">
        <v>88</v>
      </c>
    </row>
    <row r="8" spans="1:53">
      <c r="A8" s="242"/>
      <c r="B8" t="s">
        <v>89</v>
      </c>
    </row>
    <row r="10" spans="1:53" ht="18">
      <c r="B10" t="s">
        <v>76</v>
      </c>
      <c r="F10" t="s">
        <v>77</v>
      </c>
    </row>
    <row r="12" spans="1:53" ht="18">
      <c r="B12" t="s">
        <v>78</v>
      </c>
    </row>
    <row r="14" spans="1:53">
      <c r="A14" s="26" t="s">
        <v>79</v>
      </c>
      <c r="B14" s="9" t="s">
        <v>90</v>
      </c>
    </row>
    <row r="15" spans="1:53">
      <c r="A15" s="14"/>
      <c r="B15" t="s">
        <v>91</v>
      </c>
    </row>
    <row r="17" spans="1:8" ht="18">
      <c r="B17" t="s">
        <v>80</v>
      </c>
      <c r="F17" t="s">
        <v>77</v>
      </c>
    </row>
    <row r="20" spans="1:8">
      <c r="A20" s="27" t="s">
        <v>81</v>
      </c>
      <c r="B20" s="27"/>
    </row>
    <row r="21" spans="1:8" ht="18">
      <c r="B21" t="s">
        <v>82</v>
      </c>
    </row>
    <row r="22" spans="1:8">
      <c r="C22" s="25" t="s">
        <v>83</v>
      </c>
    </row>
    <row r="23" spans="1:8">
      <c r="B23" t="s">
        <v>84</v>
      </c>
    </row>
    <row r="24" spans="1:8">
      <c r="C24" s="12" t="s">
        <v>85</v>
      </c>
    </row>
    <row r="25" spans="1:8">
      <c r="B25" t="s">
        <v>86</v>
      </c>
    </row>
    <row r="26" spans="1:8">
      <c r="C26" s="12" t="s">
        <v>87</v>
      </c>
    </row>
    <row r="29" spans="1:8">
      <c r="A29" s="27" t="s">
        <v>97</v>
      </c>
      <c r="B29" s="27"/>
    </row>
    <row r="31" spans="1:8">
      <c r="C31" s="119" t="s">
        <v>124</v>
      </c>
      <c r="F31" s="119" t="s">
        <v>125</v>
      </c>
      <c r="H31" s="119" t="s">
        <v>96</v>
      </c>
    </row>
    <row r="32" spans="1:8">
      <c r="C32" s="50" t="s">
        <v>130</v>
      </c>
      <c r="F32" s="50" t="s">
        <v>133</v>
      </c>
      <c r="H32" s="50" t="s">
        <v>136</v>
      </c>
    </row>
    <row r="33" spans="1:15" ht="18">
      <c r="B33" s="29" t="s">
        <v>95</v>
      </c>
      <c r="C33" s="50" t="s">
        <v>131</v>
      </c>
      <c r="D33" s="30" t="s">
        <v>94</v>
      </c>
      <c r="E33" s="29" t="s">
        <v>93</v>
      </c>
      <c r="F33" s="50" t="s">
        <v>134</v>
      </c>
      <c r="G33" s="28" t="s">
        <v>92</v>
      </c>
      <c r="H33" s="50" t="s">
        <v>137</v>
      </c>
    </row>
    <row r="34" spans="1:15">
      <c r="C34" s="51" t="s">
        <v>132</v>
      </c>
      <c r="F34" s="51" t="s">
        <v>135</v>
      </c>
      <c r="H34" s="51" t="s">
        <v>138</v>
      </c>
    </row>
    <row r="38" spans="1:15" ht="15.75">
      <c r="A38" s="15" t="s">
        <v>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41" spans="1:15">
      <c r="A41" s="9" t="s">
        <v>98</v>
      </c>
    </row>
    <row r="43" spans="1:15" ht="12.75" customHeight="1">
      <c r="B43" s="9" t="s">
        <v>101</v>
      </c>
      <c r="J43" s="243" t="s">
        <v>99</v>
      </c>
      <c r="K43" s="243"/>
    </row>
    <row r="44" spans="1:15" ht="12.75" customHeight="1">
      <c r="B44" t="s">
        <v>102</v>
      </c>
      <c r="J44" s="243"/>
      <c r="K44" s="243"/>
    </row>
    <row r="45" spans="1:15">
      <c r="B45" s="9" t="s">
        <v>103</v>
      </c>
      <c r="J45" s="243"/>
      <c r="K45" s="243"/>
    </row>
    <row r="46" spans="1:15">
      <c r="B46" t="s">
        <v>104</v>
      </c>
      <c r="J46" s="243"/>
      <c r="K46" s="243"/>
      <c r="N46" s="31"/>
      <c r="O46" s="31"/>
    </row>
    <row r="47" spans="1:15">
      <c r="B47" s="9" t="s">
        <v>105</v>
      </c>
      <c r="N47" s="32"/>
      <c r="O47" s="32"/>
    </row>
    <row r="48" spans="1:15">
      <c r="B48" t="s">
        <v>106</v>
      </c>
      <c r="N48" s="32"/>
      <c r="O48" s="32"/>
    </row>
    <row r="50" spans="1:12" ht="15">
      <c r="A50" s="33" t="s">
        <v>100</v>
      </c>
    </row>
    <row r="52" spans="1:12" ht="15">
      <c r="B52" t="s">
        <v>108</v>
      </c>
    </row>
    <row r="53" spans="1:12" ht="18">
      <c r="B53" s="12" t="s">
        <v>107</v>
      </c>
    </row>
    <row r="54" spans="1:12">
      <c r="B54" s="12"/>
    </row>
    <row r="55" spans="1:12">
      <c r="B55" s="12"/>
    </row>
    <row r="57" spans="1:12">
      <c r="A57" s="24" t="s">
        <v>109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60" spans="1:12">
      <c r="B60" s="120" t="s">
        <v>124</v>
      </c>
      <c r="C60" s="121" t="s">
        <v>125</v>
      </c>
      <c r="D60" s="119" t="s">
        <v>96</v>
      </c>
      <c r="F60" s="6" t="s">
        <v>122</v>
      </c>
      <c r="G60" s="8" t="s">
        <v>123</v>
      </c>
      <c r="H60" s="8"/>
      <c r="I60" s="8"/>
      <c r="J60" s="8"/>
      <c r="K60" s="8"/>
    </row>
    <row r="61" spans="1:12">
      <c r="B61" s="35">
        <v>-2</v>
      </c>
      <c r="C61" s="45">
        <v>1</v>
      </c>
      <c r="D61" s="50">
        <v>-5</v>
      </c>
      <c r="E61" t="s">
        <v>114</v>
      </c>
      <c r="G61" s="8"/>
      <c r="H61" s="101" t="s">
        <v>118</v>
      </c>
      <c r="I61" s="8"/>
      <c r="J61" s="8"/>
      <c r="K61" s="8"/>
    </row>
    <row r="62" spans="1:12">
      <c r="B62" s="35">
        <v>1</v>
      </c>
      <c r="C62" s="45">
        <v>-2</v>
      </c>
      <c r="D62" s="50">
        <v>4</v>
      </c>
      <c r="E62" t="s">
        <v>117</v>
      </c>
      <c r="G62" s="8" t="s">
        <v>119</v>
      </c>
      <c r="H62" s="8"/>
      <c r="I62" s="8"/>
      <c r="J62" s="8"/>
      <c r="K62" s="8"/>
    </row>
    <row r="63" spans="1:12">
      <c r="B63" s="38">
        <v>3</v>
      </c>
      <c r="C63" s="46">
        <v>5</v>
      </c>
      <c r="D63" s="51">
        <v>1</v>
      </c>
      <c r="E63" t="s">
        <v>116</v>
      </c>
      <c r="G63" s="8"/>
      <c r="H63" s="101" t="s">
        <v>120</v>
      </c>
      <c r="I63" s="8"/>
      <c r="J63" s="8"/>
      <c r="K63" s="8"/>
    </row>
    <row r="64" spans="1:12">
      <c r="G64" s="8" t="s">
        <v>121</v>
      </c>
      <c r="H64" s="8"/>
      <c r="I64" s="8"/>
      <c r="J64" s="8"/>
      <c r="K64" s="8"/>
    </row>
    <row r="65" spans="1:12" ht="15">
      <c r="B65" s="34" t="s">
        <v>115</v>
      </c>
    </row>
    <row r="67" spans="1:12">
      <c r="B67" s="41">
        <f>B61</f>
        <v>-2</v>
      </c>
      <c r="C67" s="47">
        <f>C61</f>
        <v>1</v>
      </c>
      <c r="D67" s="52">
        <f>D61</f>
        <v>-5</v>
      </c>
      <c r="E67" t="s">
        <v>114</v>
      </c>
    </row>
    <row r="68" spans="1:12">
      <c r="B68" s="43">
        <f t="array" ref="B68:D68">B62*B61:D61-B61*B62:D62</f>
        <v>0</v>
      </c>
      <c r="C68" s="48">
        <v>-3</v>
      </c>
      <c r="D68" s="53">
        <v>3</v>
      </c>
      <c r="E68" t="s">
        <v>113</v>
      </c>
    </row>
    <row r="69" spans="1:12">
      <c r="B69" s="44">
        <f t="array" ref="B69:D69">B63*B61:D61-B61*B63:D63</f>
        <v>0</v>
      </c>
      <c r="C69" s="49">
        <v>13</v>
      </c>
      <c r="D69" s="54">
        <v>-13</v>
      </c>
      <c r="E69" t="s">
        <v>112</v>
      </c>
    </row>
    <row r="71" spans="1:12" ht="15">
      <c r="B71" s="34" t="s">
        <v>111</v>
      </c>
    </row>
    <row r="73" spans="1:12">
      <c r="B73" s="41">
        <f t="shared" ref="B73:E74" si="0">B67</f>
        <v>-2</v>
      </c>
      <c r="C73" s="47">
        <f t="shared" si="0"/>
        <v>1</v>
      </c>
      <c r="D73" s="52">
        <f t="shared" si="0"/>
        <v>-5</v>
      </c>
      <c r="E73" t="str">
        <f t="shared" si="0"/>
        <v>L1</v>
      </c>
    </row>
    <row r="74" spans="1:12">
      <c r="B74" s="43">
        <f t="shared" si="0"/>
        <v>0</v>
      </c>
      <c r="C74" s="48">
        <f t="shared" si="0"/>
        <v>-3</v>
      </c>
      <c r="D74" s="53">
        <f t="shared" si="0"/>
        <v>3</v>
      </c>
      <c r="E74" t="str">
        <f t="shared" si="0"/>
        <v>L2'</v>
      </c>
    </row>
    <row r="75" spans="1:12">
      <c r="B75" s="44">
        <f t="array" ref="B75:D75">C69*B68:D68-C68*B69:D69</f>
        <v>0</v>
      </c>
      <c r="C75" s="49">
        <v>0</v>
      </c>
      <c r="D75" s="54">
        <v>0</v>
      </c>
      <c r="E75" t="s">
        <v>110</v>
      </c>
    </row>
    <row r="79" spans="1:12">
      <c r="A79" s="24" t="s">
        <v>126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2" spans="2:12">
      <c r="B82" s="120" t="s">
        <v>124</v>
      </c>
      <c r="C82" s="121" t="s">
        <v>125</v>
      </c>
      <c r="D82" s="119" t="s">
        <v>96</v>
      </c>
      <c r="F82" s="6" t="s">
        <v>122</v>
      </c>
      <c r="G82" s="101" t="s">
        <v>143</v>
      </c>
      <c r="H82" s="8"/>
      <c r="I82" s="8"/>
      <c r="J82" s="8"/>
      <c r="K82" s="8"/>
      <c r="L82" s="21"/>
    </row>
    <row r="83" spans="2:12">
      <c r="B83" s="35">
        <v>2</v>
      </c>
      <c r="C83" s="45">
        <v>4</v>
      </c>
      <c r="D83" s="50">
        <v>8</v>
      </c>
      <c r="E83" t="s">
        <v>114</v>
      </c>
      <c r="G83" s="8"/>
      <c r="H83" s="101" t="s">
        <v>145</v>
      </c>
      <c r="I83" s="8"/>
      <c r="J83" s="8"/>
      <c r="K83" s="8"/>
      <c r="L83" s="21"/>
    </row>
    <row r="84" spans="2:12">
      <c r="B84" s="35">
        <v>1</v>
      </c>
      <c r="C84" s="45">
        <v>2</v>
      </c>
      <c r="D84" s="50">
        <v>4</v>
      </c>
      <c r="E84" t="s">
        <v>117</v>
      </c>
      <c r="G84" s="8"/>
      <c r="H84" s="8" t="s">
        <v>146</v>
      </c>
      <c r="I84" s="8"/>
      <c r="J84" s="8"/>
      <c r="K84" s="8"/>
      <c r="L84" s="21"/>
    </row>
    <row r="85" spans="2:12">
      <c r="B85" s="38">
        <v>3</v>
      </c>
      <c r="C85" s="46">
        <v>6</v>
      </c>
      <c r="D85" s="51">
        <v>12</v>
      </c>
      <c r="E85" t="s">
        <v>116</v>
      </c>
      <c r="G85" s="8"/>
      <c r="H85" s="101" t="s">
        <v>139</v>
      </c>
      <c r="I85" s="8"/>
      <c r="J85" s="8"/>
      <c r="K85" s="8"/>
      <c r="L85" s="21"/>
    </row>
    <row r="86" spans="2:12">
      <c r="G86" s="8" t="s">
        <v>140</v>
      </c>
      <c r="H86" s="8"/>
      <c r="I86" s="8"/>
      <c r="J86" s="8"/>
      <c r="K86" s="8"/>
      <c r="L86" s="21"/>
    </row>
    <row r="87" spans="2:12" ht="15">
      <c r="B87" s="34" t="s">
        <v>115</v>
      </c>
      <c r="G87" s="8"/>
      <c r="H87" s="101" t="s">
        <v>141</v>
      </c>
      <c r="I87" s="8"/>
      <c r="J87" s="8"/>
      <c r="K87" s="8"/>
      <c r="L87" s="21"/>
    </row>
    <row r="88" spans="2:12">
      <c r="G88" s="8" t="s">
        <v>142</v>
      </c>
      <c r="H88" s="8"/>
      <c r="I88" s="8"/>
      <c r="J88" s="8"/>
      <c r="K88" s="8"/>
    </row>
    <row r="89" spans="2:12">
      <c r="B89" s="55">
        <f>B83</f>
        <v>2</v>
      </c>
      <c r="C89" s="64">
        <f>C83</f>
        <v>4</v>
      </c>
      <c r="D89" s="67">
        <f>D83</f>
        <v>8</v>
      </c>
      <c r="E89" t="s">
        <v>114</v>
      </c>
    </row>
    <row r="90" spans="2:12">
      <c r="B90" s="58">
        <f t="array" ref="B90:D90">B84*B83:D83-B83*B84:D84</f>
        <v>0</v>
      </c>
      <c r="C90" s="65">
        <v>0</v>
      </c>
      <c r="D90" s="68">
        <v>0</v>
      </c>
      <c r="E90" t="s">
        <v>113</v>
      </c>
    </row>
    <row r="91" spans="2:12">
      <c r="B91" s="61">
        <f t="array" ref="B91:D91">B85*B83:D83-B83*B85:D85</f>
        <v>0</v>
      </c>
      <c r="C91" s="66">
        <v>0</v>
      </c>
      <c r="D91" s="69">
        <v>0</v>
      </c>
      <c r="E91" t="s">
        <v>112</v>
      </c>
    </row>
    <row r="93" spans="2:12" ht="15">
      <c r="B93" s="34" t="s">
        <v>127</v>
      </c>
    </row>
    <row r="94" spans="2:12" ht="15">
      <c r="B94" s="34" t="s">
        <v>128</v>
      </c>
    </row>
    <row r="95" spans="2:12" ht="15">
      <c r="B95" s="34" t="s">
        <v>129</v>
      </c>
    </row>
    <row r="99" spans="1:12">
      <c r="A99" s="24" t="s">
        <v>144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2" spans="1:12">
      <c r="B102" s="120" t="s">
        <v>124</v>
      </c>
      <c r="C102" s="121" t="s">
        <v>125</v>
      </c>
      <c r="D102" s="119" t="s">
        <v>96</v>
      </c>
      <c r="F102" s="6" t="s">
        <v>122</v>
      </c>
      <c r="G102" s="8" t="s">
        <v>147</v>
      </c>
      <c r="H102" s="8"/>
      <c r="I102" s="8"/>
      <c r="J102" s="8"/>
      <c r="K102" s="8"/>
    </row>
    <row r="103" spans="1:12">
      <c r="B103" s="35">
        <v>2</v>
      </c>
      <c r="C103" s="45">
        <v>3</v>
      </c>
      <c r="D103" s="50">
        <v>8</v>
      </c>
      <c r="E103" t="s">
        <v>114</v>
      </c>
      <c r="G103" s="8"/>
      <c r="H103" s="101" t="s">
        <v>148</v>
      </c>
      <c r="I103" s="8"/>
      <c r="J103" s="8"/>
      <c r="K103" s="8"/>
    </row>
    <row r="104" spans="1:12">
      <c r="B104" s="35">
        <v>1</v>
      </c>
      <c r="C104" s="45">
        <v>-4</v>
      </c>
      <c r="D104" s="50">
        <v>5</v>
      </c>
      <c r="E104" t="s">
        <v>117</v>
      </c>
      <c r="G104" s="8"/>
      <c r="H104" s="101" t="s">
        <v>149</v>
      </c>
      <c r="I104" s="8"/>
      <c r="J104" s="8"/>
      <c r="K104" s="8"/>
    </row>
    <row r="105" spans="1:12">
      <c r="B105" s="38">
        <v>3</v>
      </c>
      <c r="C105" s="46">
        <v>9</v>
      </c>
      <c r="D105" s="51">
        <v>11</v>
      </c>
      <c r="E105" t="s">
        <v>116</v>
      </c>
      <c r="G105" s="8" t="s">
        <v>150</v>
      </c>
      <c r="H105" s="8"/>
      <c r="I105" s="8"/>
      <c r="J105" s="8"/>
      <c r="K105" s="8"/>
    </row>
    <row r="106" spans="1:12">
      <c r="G106" s="8"/>
      <c r="H106" s="101" t="s">
        <v>151</v>
      </c>
      <c r="I106" s="8"/>
      <c r="J106" s="8"/>
      <c r="K106" s="8"/>
    </row>
    <row r="107" spans="1:12" ht="15">
      <c r="B107" s="34" t="s">
        <v>115</v>
      </c>
      <c r="G107" s="8" t="s">
        <v>152</v>
      </c>
      <c r="H107" s="8"/>
      <c r="I107" s="8"/>
      <c r="J107" s="8"/>
      <c r="K107" s="8"/>
    </row>
    <row r="109" spans="1:12">
      <c r="B109" s="41">
        <f>B103</f>
        <v>2</v>
      </c>
      <c r="C109" s="47">
        <f>C103</f>
        <v>3</v>
      </c>
      <c r="D109" s="52">
        <f>D103</f>
        <v>8</v>
      </c>
      <c r="E109" t="s">
        <v>114</v>
      </c>
    </row>
    <row r="110" spans="1:12">
      <c r="B110" s="43">
        <f t="array" ref="B110:D110">B104*B103:D103-B103*B104:D104</f>
        <v>0</v>
      </c>
      <c r="C110" s="48">
        <v>11</v>
      </c>
      <c r="D110" s="53">
        <v>-2</v>
      </c>
      <c r="E110" t="s">
        <v>113</v>
      </c>
    </row>
    <row r="111" spans="1:12">
      <c r="B111" s="44">
        <f t="array" ref="B111:D111">B105*B103:D103-B103*B105:D105</f>
        <v>0</v>
      </c>
      <c r="C111" s="49">
        <v>-9</v>
      </c>
      <c r="D111" s="54">
        <v>2</v>
      </c>
      <c r="E111" t="s">
        <v>112</v>
      </c>
    </row>
    <row r="113" spans="1:18" ht="15">
      <c r="B113" s="34" t="s">
        <v>111</v>
      </c>
    </row>
    <row r="115" spans="1:18">
      <c r="B115" s="41">
        <f t="shared" ref="B115:E116" si="1">B109</f>
        <v>2</v>
      </c>
      <c r="C115" s="47">
        <f t="shared" si="1"/>
        <v>3</v>
      </c>
      <c r="D115" s="52">
        <f t="shared" si="1"/>
        <v>8</v>
      </c>
      <c r="E115" t="str">
        <f t="shared" si="1"/>
        <v>L1</v>
      </c>
    </row>
    <row r="116" spans="1:18">
      <c r="B116" s="43">
        <f t="shared" si="1"/>
        <v>0</v>
      </c>
      <c r="C116" s="48">
        <f t="shared" si="1"/>
        <v>11</v>
      </c>
      <c r="D116" s="53">
        <f t="shared" si="1"/>
        <v>-2</v>
      </c>
      <c r="E116" t="str">
        <f t="shared" si="1"/>
        <v>L2'</v>
      </c>
    </row>
    <row r="117" spans="1:18">
      <c r="B117" s="44">
        <f t="array" ref="B117:D117">C111*B110:D110-C110*B111:D111</f>
        <v>0</v>
      </c>
      <c r="C117" s="49">
        <v>0</v>
      </c>
      <c r="D117" s="54">
        <v>-4</v>
      </c>
      <c r="E117" t="s">
        <v>110</v>
      </c>
    </row>
    <row r="121" spans="1:18">
      <c r="A121" s="24" t="s">
        <v>153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4" spans="1:18" ht="15">
      <c r="A124" s="70" t="s">
        <v>154</v>
      </c>
      <c r="B124" s="70"/>
    </row>
    <row r="125" spans="1:18" ht="15">
      <c r="A125" s="70"/>
      <c r="B125" s="33" t="s">
        <v>155</v>
      </c>
    </row>
    <row r="126" spans="1:18">
      <c r="B126" s="27" t="s">
        <v>156</v>
      </c>
    </row>
    <row r="128" spans="1:18" ht="15">
      <c r="A128" s="71" t="s">
        <v>157</v>
      </c>
      <c r="G128" s="98" t="s">
        <v>237</v>
      </c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1:18">
      <c r="A129" t="s">
        <v>158</v>
      </c>
    </row>
    <row r="131" spans="1:18">
      <c r="A131" s="72" t="s">
        <v>159</v>
      </c>
      <c r="B131" t="s">
        <v>160</v>
      </c>
    </row>
    <row r="133" spans="1:18">
      <c r="A133" s="6" t="s">
        <v>161</v>
      </c>
      <c r="B133" s="6"/>
      <c r="C133" s="6"/>
      <c r="D133" s="6" t="s">
        <v>162</v>
      </c>
      <c r="E133" s="6"/>
      <c r="F133" s="6"/>
      <c r="G133" s="6"/>
      <c r="H133" s="6" t="s">
        <v>163</v>
      </c>
      <c r="I133" s="6"/>
      <c r="J133" s="6"/>
      <c r="K133" s="6"/>
      <c r="M133" s="1"/>
      <c r="N133" s="1"/>
      <c r="O133" s="1"/>
      <c r="P133" s="1"/>
      <c r="Q133" s="1"/>
      <c r="R133" s="1"/>
    </row>
    <row r="134" spans="1:18">
      <c r="A134" s="73" t="s">
        <v>238</v>
      </c>
      <c r="B134" s="74"/>
      <c r="C134" s="75"/>
      <c r="D134" s="73"/>
      <c r="E134" s="74"/>
      <c r="F134" s="74"/>
      <c r="G134" s="78"/>
      <c r="H134" s="84" t="s">
        <v>172</v>
      </c>
      <c r="I134" s="85"/>
      <c r="J134" s="85"/>
      <c r="K134" s="86"/>
      <c r="M134" s="1"/>
      <c r="N134" s="1"/>
      <c r="O134" s="1"/>
      <c r="P134" s="1"/>
      <c r="Q134" s="1"/>
      <c r="R134" s="1"/>
    </row>
    <row r="135" spans="1:18">
      <c r="A135" s="35" t="s">
        <v>239</v>
      </c>
      <c r="B135" s="36"/>
      <c r="C135" s="37"/>
      <c r="D135" s="35"/>
      <c r="E135" s="36"/>
      <c r="F135" s="36"/>
      <c r="G135" s="45"/>
      <c r="H135" s="87" t="s">
        <v>171</v>
      </c>
      <c r="I135" s="83"/>
      <c r="J135" s="83"/>
      <c r="K135" s="88"/>
      <c r="M135" s="1"/>
      <c r="N135" s="1"/>
      <c r="O135" s="1"/>
      <c r="P135" s="1"/>
      <c r="Q135" s="1"/>
      <c r="R135" s="1"/>
    </row>
    <row r="136" spans="1:18">
      <c r="A136" s="36" t="s">
        <v>240</v>
      </c>
      <c r="B136" s="36"/>
      <c r="C136" s="37"/>
      <c r="D136" s="35"/>
      <c r="E136" s="36"/>
      <c r="F136" s="36"/>
      <c r="G136" s="45"/>
      <c r="H136" s="89" t="s">
        <v>170</v>
      </c>
      <c r="I136" s="83"/>
      <c r="J136" s="83"/>
      <c r="K136" s="88"/>
      <c r="M136" s="1"/>
      <c r="N136" s="1"/>
      <c r="O136" s="1"/>
      <c r="P136" s="1"/>
      <c r="Q136" s="1"/>
      <c r="R136" s="1"/>
    </row>
    <row r="137" spans="1:18">
      <c r="A137" s="35" t="s">
        <v>241</v>
      </c>
      <c r="B137" s="36"/>
      <c r="C137" s="37"/>
      <c r="D137" s="35"/>
      <c r="E137" s="36"/>
      <c r="F137" s="36"/>
      <c r="G137" s="45"/>
      <c r="H137" s="89" t="s">
        <v>173</v>
      </c>
      <c r="I137" s="83"/>
      <c r="J137" s="83"/>
      <c r="K137" s="88"/>
      <c r="M137" s="1"/>
      <c r="N137" s="1"/>
      <c r="O137" s="1"/>
      <c r="P137" s="1"/>
      <c r="Q137" s="1"/>
      <c r="R137" s="1"/>
    </row>
    <row r="138" spans="1:18">
      <c r="A138" s="35" t="s">
        <v>242</v>
      </c>
      <c r="B138" s="36"/>
      <c r="C138" s="37"/>
      <c r="D138" s="35"/>
      <c r="E138" s="36"/>
      <c r="F138" s="36"/>
      <c r="G138" s="45"/>
      <c r="H138" s="89"/>
      <c r="I138" s="83"/>
      <c r="J138" s="83"/>
      <c r="K138" s="88"/>
      <c r="M138" s="1"/>
      <c r="N138" s="1"/>
      <c r="O138" s="1"/>
      <c r="P138" s="1"/>
      <c r="Q138" s="1"/>
      <c r="R138" s="1"/>
    </row>
    <row r="139" spans="1:18">
      <c r="A139" s="35"/>
      <c r="B139" s="36"/>
      <c r="C139" s="37"/>
      <c r="D139" s="35"/>
      <c r="E139" s="36"/>
      <c r="F139" s="36"/>
      <c r="G139" s="45"/>
      <c r="H139" s="89" t="s">
        <v>164</v>
      </c>
      <c r="I139" s="83"/>
      <c r="J139" s="83"/>
      <c r="K139" s="88"/>
      <c r="M139" s="1"/>
      <c r="N139" s="1"/>
      <c r="O139" s="1"/>
      <c r="P139" s="1"/>
      <c r="Q139" s="1"/>
      <c r="R139" s="1"/>
    </row>
    <row r="140" spans="1:18">
      <c r="A140" s="35"/>
      <c r="B140" s="36"/>
      <c r="C140" s="37"/>
      <c r="D140" s="77"/>
      <c r="E140" s="36"/>
      <c r="F140" s="36"/>
      <c r="G140" s="45"/>
      <c r="H140" s="89" t="s">
        <v>165</v>
      </c>
      <c r="I140" s="83"/>
      <c r="J140" s="83"/>
      <c r="K140" s="88"/>
      <c r="M140" s="1"/>
      <c r="N140" s="1"/>
      <c r="O140" s="1"/>
      <c r="P140" s="1"/>
      <c r="Q140" s="1"/>
      <c r="R140" s="1"/>
    </row>
    <row r="141" spans="1:18">
      <c r="A141" s="76" t="s">
        <v>166</v>
      </c>
      <c r="B141" s="39"/>
      <c r="C141" s="40"/>
      <c r="D141" s="76" t="s">
        <v>167</v>
      </c>
      <c r="E141" s="39"/>
      <c r="F141" s="39"/>
      <c r="G141" s="46"/>
      <c r="H141" s="89" t="s">
        <v>168</v>
      </c>
      <c r="I141" s="83"/>
      <c r="J141" s="83"/>
      <c r="K141" s="88"/>
      <c r="M141" s="1"/>
      <c r="N141" s="1"/>
      <c r="O141" s="1"/>
      <c r="P141" s="1"/>
      <c r="Q141" s="1"/>
      <c r="R141" s="1"/>
    </row>
    <row r="142" spans="1:18" ht="12.75" customHeight="1">
      <c r="A142" s="79" t="s">
        <v>169</v>
      </c>
      <c r="B142" s="80"/>
      <c r="C142" s="80"/>
      <c r="D142" s="80"/>
      <c r="E142" s="80"/>
      <c r="F142" s="80"/>
      <c r="G142" s="80"/>
      <c r="H142" s="90"/>
      <c r="I142" s="83"/>
      <c r="J142" s="83"/>
      <c r="K142" s="88"/>
      <c r="L142" s="1"/>
      <c r="M142" s="1"/>
      <c r="N142" s="1"/>
      <c r="O142" s="1"/>
      <c r="P142" s="1"/>
      <c r="Q142" s="1"/>
      <c r="R142" s="1"/>
    </row>
    <row r="143" spans="1:18">
      <c r="A143" s="81"/>
      <c r="B143" s="82"/>
      <c r="C143" s="82"/>
      <c r="D143" s="82"/>
      <c r="E143" s="82"/>
      <c r="F143" s="82"/>
      <c r="G143" s="82"/>
      <c r="H143" s="91"/>
      <c r="I143" s="92"/>
      <c r="J143" s="92"/>
      <c r="K143" s="93"/>
      <c r="L143" s="1"/>
      <c r="M143" s="1"/>
      <c r="N143" s="1"/>
      <c r="O143" s="1"/>
      <c r="P143" s="1"/>
      <c r="Q143" s="1"/>
      <c r="R143" s="1"/>
    </row>
    <row r="145" spans="1:1" ht="15">
      <c r="A145" t="s">
        <v>174</v>
      </c>
    </row>
  </sheetData>
  <mergeCells count="2">
    <mergeCell ref="A7:A8"/>
    <mergeCell ref="J43:K4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76"/>
  <sheetViews>
    <sheetView workbookViewId="0">
      <selection activeCell="E19" sqref="E19"/>
    </sheetView>
  </sheetViews>
  <sheetFormatPr baseColWidth="10" defaultRowHeight="12.75"/>
  <sheetData>
    <row r="1" spans="1:53" s="10" customFormat="1" ht="20.25">
      <c r="A1" s="10" t="s">
        <v>175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>
      <c r="A7" t="s">
        <v>176</v>
      </c>
    </row>
    <row r="8" spans="1:53">
      <c r="B8" s="12" t="s">
        <v>177</v>
      </c>
    </row>
    <row r="9" spans="1:53">
      <c r="B9" s="12" t="s">
        <v>178</v>
      </c>
    </row>
    <row r="11" spans="1:53">
      <c r="B11" s="107" t="s">
        <v>179</v>
      </c>
      <c r="E11" s="107" t="s">
        <v>180</v>
      </c>
      <c r="I11" s="107" t="s">
        <v>181</v>
      </c>
    </row>
    <row r="12" spans="1:53">
      <c r="B12" s="94" t="s">
        <v>188</v>
      </c>
      <c r="C12" s="95" t="s">
        <v>189</v>
      </c>
      <c r="E12" s="73" t="s">
        <v>192</v>
      </c>
      <c r="F12" s="74" t="s">
        <v>193</v>
      </c>
      <c r="G12" s="95" t="s">
        <v>194</v>
      </c>
      <c r="I12" s="73" t="s">
        <v>198</v>
      </c>
      <c r="J12" s="74" t="s">
        <v>199</v>
      </c>
      <c r="K12" s="95" t="s">
        <v>200</v>
      </c>
    </row>
    <row r="13" spans="1:53">
      <c r="B13" s="38" t="s">
        <v>190</v>
      </c>
      <c r="C13" s="40" t="s">
        <v>191</v>
      </c>
      <c r="E13" s="38" t="s">
        <v>195</v>
      </c>
      <c r="F13" s="39" t="s">
        <v>196</v>
      </c>
      <c r="G13" s="96" t="s">
        <v>197</v>
      </c>
      <c r="I13" s="38" t="s">
        <v>201</v>
      </c>
      <c r="J13" s="39" t="s">
        <v>202</v>
      </c>
      <c r="K13" s="40" t="s">
        <v>203</v>
      </c>
    </row>
    <row r="14" spans="1:53">
      <c r="B14" t="s">
        <v>182</v>
      </c>
      <c r="E14" s="19" t="s">
        <v>183</v>
      </c>
      <c r="I14" s="19" t="s">
        <v>183</v>
      </c>
    </row>
    <row r="16" spans="1:53">
      <c r="A16" t="s">
        <v>184</v>
      </c>
    </row>
    <row r="17" spans="1:12">
      <c r="B17" t="s">
        <v>185</v>
      </c>
    </row>
    <row r="18" spans="1:12">
      <c r="B18" t="s">
        <v>186</v>
      </c>
    </row>
    <row r="19" spans="1:12" ht="18">
      <c r="B19" t="s">
        <v>187</v>
      </c>
    </row>
    <row r="21" spans="1:12">
      <c r="A21" s="12" t="s">
        <v>205</v>
      </c>
    </row>
    <row r="22" spans="1:12">
      <c r="A22" s="12"/>
    </row>
    <row r="23" spans="1:12">
      <c r="A23" s="12"/>
    </row>
    <row r="25" spans="1:12" ht="15.75">
      <c r="A25" s="15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8" spans="1:12">
      <c r="A28" s="24" t="s">
        <v>204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31" spans="1:12">
      <c r="B31" s="107" t="s">
        <v>179</v>
      </c>
      <c r="E31" s="107" t="s">
        <v>180</v>
      </c>
      <c r="I31" s="107" t="s">
        <v>181</v>
      </c>
    </row>
    <row r="32" spans="1:12">
      <c r="B32" s="94">
        <v>3</v>
      </c>
      <c r="C32" s="95">
        <v>7</v>
      </c>
      <c r="E32" s="73">
        <v>21</v>
      </c>
      <c r="F32" s="74">
        <v>13</v>
      </c>
      <c r="G32" s="95">
        <v>17</v>
      </c>
      <c r="I32" s="55">
        <f t="array" ref="I32:K33">MMULT(B32:C33,E32:G33)</f>
        <v>126</v>
      </c>
      <c r="J32" s="56">
        <v>67</v>
      </c>
      <c r="K32" s="95">
        <v>79</v>
      </c>
    </row>
    <row r="33" spans="1:12">
      <c r="B33" s="38">
        <v>9</v>
      </c>
      <c r="C33" s="40">
        <v>15</v>
      </c>
      <c r="E33" s="38">
        <v>9</v>
      </c>
      <c r="F33" s="39">
        <v>4</v>
      </c>
      <c r="G33" s="96">
        <v>4</v>
      </c>
      <c r="I33" s="61">
        <v>324</v>
      </c>
      <c r="J33" s="62">
        <v>177</v>
      </c>
      <c r="K33" s="63">
        <v>213</v>
      </c>
    </row>
    <row r="34" spans="1:12">
      <c r="B34" t="s">
        <v>182</v>
      </c>
      <c r="E34" s="19" t="s">
        <v>183</v>
      </c>
      <c r="I34" s="19" t="s">
        <v>183</v>
      </c>
    </row>
    <row r="45" spans="1:12">
      <c r="A45" s="24" t="s">
        <v>206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8" spans="1:12">
      <c r="B48" s="107" t="s">
        <v>179</v>
      </c>
      <c r="F48" s="107" t="s">
        <v>180</v>
      </c>
      <c r="J48" s="107" t="s">
        <v>181</v>
      </c>
    </row>
    <row r="49" spans="2:12">
      <c r="B49" s="73">
        <v>1</v>
      </c>
      <c r="C49" s="74">
        <v>2</v>
      </c>
      <c r="D49" s="75">
        <v>3</v>
      </c>
      <c r="F49" s="73">
        <v>3</v>
      </c>
      <c r="G49" s="74">
        <v>5</v>
      </c>
      <c r="H49" s="75">
        <v>11</v>
      </c>
      <c r="J49" s="55" t="e">
        <f t="array" ref="J49:L51">MMULT(B49:D51,F49:H52)</f>
        <v>#VALUE!</v>
      </c>
      <c r="K49" s="56" t="e">
        <v>#VALUE!</v>
      </c>
      <c r="L49" s="57" t="e">
        <v>#VALUE!</v>
      </c>
    </row>
    <row r="50" spans="2:12">
      <c r="B50" s="35">
        <v>4</v>
      </c>
      <c r="C50" s="36">
        <v>5</v>
      </c>
      <c r="D50" s="37">
        <v>6</v>
      </c>
      <c r="F50" s="35">
        <v>7</v>
      </c>
      <c r="G50" s="36">
        <v>6</v>
      </c>
      <c r="H50" s="37">
        <v>12</v>
      </c>
      <c r="J50" s="58" t="e">
        <v>#VALUE!</v>
      </c>
      <c r="K50" s="59" t="e">
        <v>#VALUE!</v>
      </c>
      <c r="L50" s="60" t="e">
        <v>#VALUE!</v>
      </c>
    </row>
    <row r="51" spans="2:12">
      <c r="B51" s="38">
        <v>7</v>
      </c>
      <c r="C51" s="39">
        <v>8</v>
      </c>
      <c r="D51" s="40">
        <v>9</v>
      </c>
      <c r="F51" s="35">
        <v>2</v>
      </c>
      <c r="G51" s="36">
        <v>8</v>
      </c>
      <c r="H51" s="37">
        <v>3</v>
      </c>
      <c r="J51" s="61" t="e">
        <v>#VALUE!</v>
      </c>
      <c r="K51" s="62" t="e">
        <v>#VALUE!</v>
      </c>
      <c r="L51" s="63" t="e">
        <v>#VALUE!</v>
      </c>
    </row>
    <row r="52" spans="2:12">
      <c r="B52" t="s">
        <v>207</v>
      </c>
      <c r="F52" s="38">
        <v>1</v>
      </c>
      <c r="G52" s="39">
        <v>2</v>
      </c>
      <c r="H52" s="40">
        <v>4</v>
      </c>
    </row>
    <row r="53" spans="2:12">
      <c r="F53" t="s">
        <v>208</v>
      </c>
    </row>
    <row r="56" spans="2:12" ht="15">
      <c r="B56" s="34" t="s">
        <v>209</v>
      </c>
    </row>
    <row r="59" spans="2:12" ht="14.25">
      <c r="B59" s="107" t="s">
        <v>371</v>
      </c>
    </row>
    <row r="60" spans="2:12">
      <c r="B60" s="55">
        <f t="array" ref="B60:E62">TRANSPOSE(F49:H52)</f>
        <v>3</v>
      </c>
      <c r="C60" s="56">
        <v>7</v>
      </c>
      <c r="D60" s="56">
        <v>2</v>
      </c>
      <c r="E60" s="57">
        <v>1</v>
      </c>
    </row>
    <row r="61" spans="2:12">
      <c r="B61" s="58">
        <v>5</v>
      </c>
      <c r="C61" s="59">
        <v>6</v>
      </c>
      <c r="D61" s="59">
        <v>8</v>
      </c>
      <c r="E61" s="60">
        <v>2</v>
      </c>
    </row>
    <row r="62" spans="2:12">
      <c r="B62" s="61">
        <v>11</v>
      </c>
      <c r="C62" s="62">
        <v>12</v>
      </c>
      <c r="D62" s="62">
        <v>3</v>
      </c>
      <c r="E62" s="63">
        <v>4</v>
      </c>
    </row>
    <row r="64" spans="2:12" ht="15">
      <c r="B64" s="34" t="s">
        <v>210</v>
      </c>
    </row>
    <row r="66" spans="2:5">
      <c r="B66" s="107" t="s">
        <v>181</v>
      </c>
    </row>
    <row r="67" spans="2:5">
      <c r="B67" s="55">
        <f t="array" ref="B67:E69">MMULT(B49:D51,B60:E62)</f>
        <v>46</v>
      </c>
      <c r="C67" s="56">
        <v>55</v>
      </c>
      <c r="D67" s="56">
        <v>27</v>
      </c>
      <c r="E67" s="57">
        <v>17</v>
      </c>
    </row>
    <row r="68" spans="2:5">
      <c r="B68" s="58">
        <v>103</v>
      </c>
      <c r="C68" s="59">
        <v>130</v>
      </c>
      <c r="D68" s="59">
        <v>66</v>
      </c>
      <c r="E68" s="60">
        <v>38</v>
      </c>
    </row>
    <row r="69" spans="2:5">
      <c r="B69" s="61">
        <v>160</v>
      </c>
      <c r="C69" s="62">
        <v>205</v>
      </c>
      <c r="D69" s="62">
        <v>105</v>
      </c>
      <c r="E69" s="63">
        <v>59</v>
      </c>
    </row>
    <row r="71" spans="2:5" ht="15">
      <c r="B71" s="34" t="s">
        <v>211</v>
      </c>
    </row>
    <row r="73" spans="2:5">
      <c r="B73" s="107" t="s">
        <v>181</v>
      </c>
    </row>
    <row r="74" spans="2:5">
      <c r="B74" s="55">
        <f t="array" ref="B74:E76">MMULT(A_,TRANSPOSE(B_))</f>
        <v>46</v>
      </c>
      <c r="C74" s="56">
        <v>55</v>
      </c>
      <c r="D74" s="56">
        <v>27</v>
      </c>
      <c r="E74" s="57">
        <v>17</v>
      </c>
    </row>
    <row r="75" spans="2:5">
      <c r="B75" s="58">
        <v>103</v>
      </c>
      <c r="C75" s="59">
        <v>130</v>
      </c>
      <c r="D75" s="59">
        <v>66</v>
      </c>
      <c r="E75" s="60">
        <v>38</v>
      </c>
    </row>
    <row r="76" spans="2:5">
      <c r="B76" s="61">
        <v>160</v>
      </c>
      <c r="C76" s="62">
        <v>205</v>
      </c>
      <c r="D76" s="62">
        <v>105</v>
      </c>
      <c r="E76" s="63">
        <v>59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68"/>
  <sheetViews>
    <sheetView workbookViewId="0">
      <selection activeCell="D21" sqref="D21"/>
    </sheetView>
  </sheetViews>
  <sheetFormatPr baseColWidth="10" defaultRowHeight="12.75"/>
  <cols>
    <col min="2" max="2" width="11.42578125" customWidth="1"/>
  </cols>
  <sheetData>
    <row r="1" spans="1:53" s="10" customFormat="1" ht="20.25">
      <c r="A1" s="10" t="s">
        <v>175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>
      <c r="A7" s="27" t="s">
        <v>215</v>
      </c>
    </row>
    <row r="10" spans="1:53">
      <c r="B10" s="6" t="s">
        <v>212</v>
      </c>
      <c r="G10" s="6" t="s">
        <v>216</v>
      </c>
    </row>
    <row r="11" spans="1:53">
      <c r="B11" s="73">
        <v>22</v>
      </c>
      <c r="C11" s="74">
        <v>11</v>
      </c>
      <c r="D11" s="74">
        <v>3</v>
      </c>
      <c r="E11" s="75">
        <v>5</v>
      </c>
      <c r="G11" s="73">
        <f t="array" ref="G11:H14">TRANSPOSE(W_)</f>
        <v>22</v>
      </c>
      <c r="H11" s="75">
        <v>-2</v>
      </c>
    </row>
    <row r="12" spans="1:53">
      <c r="B12" s="38">
        <v>-2</v>
      </c>
      <c r="C12" s="39">
        <v>4</v>
      </c>
      <c r="D12" s="39">
        <v>5</v>
      </c>
      <c r="E12" s="40">
        <v>3</v>
      </c>
      <c r="G12" s="35">
        <v>11</v>
      </c>
      <c r="H12" s="37">
        <v>4</v>
      </c>
    </row>
    <row r="13" spans="1:53">
      <c r="B13" t="s">
        <v>213</v>
      </c>
      <c r="G13" s="35">
        <v>3</v>
      </c>
      <c r="H13" s="37">
        <v>5</v>
      </c>
    </row>
    <row r="14" spans="1:53">
      <c r="G14" s="38">
        <v>5</v>
      </c>
      <c r="H14" s="40">
        <v>3</v>
      </c>
    </row>
    <row r="15" spans="1:53">
      <c r="G15" t="s">
        <v>214</v>
      </c>
    </row>
    <row r="19" spans="1:12" ht="15.75">
      <c r="A19" s="15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2" spans="1:12">
      <c r="A22" s="16" t="s">
        <v>217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5" spans="1:12" ht="17.25">
      <c r="B25" s="27" t="s">
        <v>224</v>
      </c>
    </row>
    <row r="27" spans="1:12">
      <c r="B27" s="6" t="s">
        <v>218</v>
      </c>
    </row>
    <row r="28" spans="1:12">
      <c r="B28" s="94">
        <f t="array" ref="B28:C29">MMULT(W_,TRANSPOSE(W_))</f>
        <v>639</v>
      </c>
      <c r="C28" s="42">
        <v>30</v>
      </c>
    </row>
    <row r="29" spans="1:12">
      <c r="B29" s="44">
        <v>30</v>
      </c>
      <c r="C29" s="96">
        <v>54</v>
      </c>
    </row>
    <row r="30" spans="1:12">
      <c r="B30" t="s">
        <v>219</v>
      </c>
    </row>
    <row r="33" spans="1:12">
      <c r="B33" s="6" t="s">
        <v>223</v>
      </c>
      <c r="C33" s="8" t="s">
        <v>220</v>
      </c>
      <c r="D33" s="8"/>
      <c r="E33" s="8"/>
      <c r="F33" s="8"/>
      <c r="G33" s="8"/>
    </row>
    <row r="34" spans="1:12">
      <c r="C34" s="8" t="s">
        <v>221</v>
      </c>
      <c r="D34" s="8"/>
      <c r="E34" s="8"/>
      <c r="F34" s="8"/>
      <c r="G34" s="8"/>
    </row>
    <row r="35" spans="1:12">
      <c r="C35" s="8" t="s">
        <v>222</v>
      </c>
      <c r="D35" s="8"/>
      <c r="E35" s="8"/>
      <c r="F35" s="8"/>
      <c r="G35" s="8"/>
    </row>
    <row r="40" spans="1:12">
      <c r="A40" s="16" t="s">
        <v>225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3" spans="1:12" ht="17.25">
      <c r="B43" t="s">
        <v>226</v>
      </c>
    </row>
    <row r="45" spans="1:12">
      <c r="B45" s="6" t="s">
        <v>227</v>
      </c>
    </row>
    <row r="46" spans="1:12">
      <c r="B46" s="94">
        <f t="array" ref="B46:E49">MMULT(TRANSPOSE(W_),W_)</f>
        <v>488</v>
      </c>
      <c r="C46" s="56">
        <v>234</v>
      </c>
      <c r="D46" s="56">
        <v>56</v>
      </c>
      <c r="E46" s="57">
        <v>104</v>
      </c>
    </row>
    <row r="47" spans="1:12">
      <c r="B47" s="58">
        <v>234</v>
      </c>
      <c r="C47" s="97">
        <v>137</v>
      </c>
      <c r="D47" s="59">
        <v>53</v>
      </c>
      <c r="E47" s="60">
        <v>67</v>
      </c>
    </row>
    <row r="48" spans="1:12">
      <c r="B48" s="58">
        <v>56</v>
      </c>
      <c r="C48" s="59">
        <v>53</v>
      </c>
      <c r="D48" s="97">
        <v>34</v>
      </c>
      <c r="E48" s="60">
        <v>30</v>
      </c>
    </row>
    <row r="49" spans="1:12">
      <c r="B49" s="61">
        <v>104</v>
      </c>
      <c r="C49" s="62">
        <v>67</v>
      </c>
      <c r="D49" s="62">
        <v>30</v>
      </c>
      <c r="E49" s="96">
        <v>34</v>
      </c>
    </row>
    <row r="50" spans="1:12">
      <c r="B50" t="s">
        <v>228</v>
      </c>
    </row>
    <row r="53" spans="1:12">
      <c r="B53" s="6" t="s">
        <v>223</v>
      </c>
      <c r="C53" s="8" t="s">
        <v>229</v>
      </c>
      <c r="D53" s="8"/>
      <c r="E53" s="8"/>
      <c r="F53" s="8"/>
      <c r="G53" s="8"/>
      <c r="H53" s="8"/>
      <c r="I53" s="8"/>
    </row>
    <row r="54" spans="1:12">
      <c r="C54" s="8" t="s">
        <v>230</v>
      </c>
      <c r="D54" s="8"/>
      <c r="E54" s="8"/>
      <c r="F54" s="8"/>
      <c r="G54" s="8"/>
      <c r="H54" s="8"/>
      <c r="I54" s="8"/>
    </row>
    <row r="58" spans="1:12">
      <c r="A58" s="16" t="s">
        <v>231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61" spans="1:12">
      <c r="B61" s="6" t="s">
        <v>223</v>
      </c>
      <c r="C61" s="101" t="s">
        <v>232</v>
      </c>
      <c r="D61" s="8"/>
      <c r="E61" s="8"/>
      <c r="F61" s="8"/>
      <c r="G61" s="8"/>
      <c r="H61" s="8"/>
      <c r="I61" s="8"/>
      <c r="J61" s="8"/>
    </row>
    <row r="62" spans="1:12">
      <c r="C62" s="101" t="s">
        <v>233</v>
      </c>
      <c r="D62" s="8"/>
      <c r="E62" s="8"/>
      <c r="F62" s="8"/>
      <c r="G62" s="8"/>
      <c r="H62" s="8"/>
      <c r="I62" s="8"/>
      <c r="J62" s="8"/>
    </row>
    <row r="63" spans="1:12">
      <c r="C63" s="101" t="s">
        <v>234</v>
      </c>
      <c r="D63" s="8"/>
      <c r="E63" s="8"/>
      <c r="F63" s="8"/>
      <c r="G63" s="8"/>
      <c r="H63" s="8"/>
      <c r="I63" s="8"/>
      <c r="J63" s="8"/>
    </row>
    <row r="64" spans="1:12">
      <c r="C64" s="101" t="s">
        <v>235</v>
      </c>
      <c r="D64" s="8"/>
      <c r="E64" s="8"/>
      <c r="F64" s="8"/>
      <c r="G64" s="8"/>
      <c r="H64" s="8"/>
      <c r="I64" s="8"/>
      <c r="J64" s="8"/>
    </row>
    <row r="65" spans="3:10">
      <c r="C65" s="8" t="s">
        <v>236</v>
      </c>
      <c r="D65" s="8"/>
      <c r="E65" s="8"/>
      <c r="F65" s="8"/>
      <c r="G65" s="8"/>
      <c r="H65" s="8"/>
      <c r="I65" s="8"/>
      <c r="J65" s="8"/>
    </row>
    <row r="66" spans="3:10">
      <c r="C66" s="101" t="s">
        <v>245</v>
      </c>
      <c r="D66" s="8"/>
      <c r="E66" s="8"/>
      <c r="F66" s="8"/>
      <c r="G66" s="8"/>
      <c r="H66" s="8"/>
      <c r="I66" s="8"/>
      <c r="J66" s="8"/>
    </row>
    <row r="67" spans="3:10">
      <c r="C67" s="8" t="s">
        <v>246</v>
      </c>
      <c r="D67" s="8"/>
      <c r="E67" s="8"/>
      <c r="F67" s="8"/>
      <c r="G67" s="8"/>
      <c r="H67" s="8"/>
      <c r="I67" s="8"/>
      <c r="J67" s="8"/>
    </row>
    <row r="68" spans="3:10">
      <c r="C68" s="8"/>
      <c r="D68" s="8"/>
      <c r="E68" s="8"/>
      <c r="F68" s="8"/>
      <c r="G68" s="8"/>
      <c r="H68" s="8"/>
      <c r="I68" s="8"/>
      <c r="J68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88"/>
  <sheetViews>
    <sheetView workbookViewId="0">
      <selection activeCell="G8" sqref="G8"/>
    </sheetView>
  </sheetViews>
  <sheetFormatPr baseColWidth="10" defaultRowHeight="12.75"/>
  <cols>
    <col min="2" max="2" width="13.5703125" customWidth="1"/>
    <col min="5" max="5" width="15.85546875" customWidth="1"/>
    <col min="7" max="9" width="13" bestFit="1" customWidth="1"/>
    <col min="10" max="10" width="13.28515625" bestFit="1" customWidth="1"/>
    <col min="11" max="12" width="13" bestFit="1" customWidth="1"/>
  </cols>
  <sheetData>
    <row r="1" spans="1:53" s="10" customFormat="1" ht="20.25">
      <c r="A1" s="10" t="s">
        <v>243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>
      <c r="A7" t="s">
        <v>247</v>
      </c>
    </row>
    <row r="9" spans="1:53">
      <c r="A9" t="s">
        <v>248</v>
      </c>
      <c r="B9" t="s">
        <v>249</v>
      </c>
    </row>
    <row r="10" spans="1:53" ht="14.25">
      <c r="B10" s="9" t="s">
        <v>250</v>
      </c>
    </row>
    <row r="11" spans="1:53" ht="14.25">
      <c r="B11" s="9" t="s">
        <v>253</v>
      </c>
    </row>
    <row r="13" spans="1:53">
      <c r="B13" s="9" t="s">
        <v>254</v>
      </c>
    </row>
    <row r="14" spans="1:53">
      <c r="B14" s="9" t="s">
        <v>255</v>
      </c>
    </row>
    <row r="16" spans="1:53">
      <c r="A16" s="9" t="s">
        <v>251</v>
      </c>
    </row>
    <row r="18" spans="1:12">
      <c r="B18" s="107" t="s">
        <v>252</v>
      </c>
    </row>
    <row r="19" spans="1:12">
      <c r="B19" s="73">
        <v>1</v>
      </c>
      <c r="C19" s="74">
        <v>0</v>
      </c>
      <c r="D19" s="75">
        <v>0</v>
      </c>
    </row>
    <row r="20" spans="1:12">
      <c r="B20" s="35">
        <v>0</v>
      </c>
      <c r="C20" s="36">
        <v>1</v>
      </c>
      <c r="D20" s="37">
        <v>0</v>
      </c>
    </row>
    <row r="21" spans="1:12">
      <c r="B21" s="38">
        <v>0</v>
      </c>
      <c r="C21" s="39">
        <v>0</v>
      </c>
      <c r="D21" s="40">
        <v>1</v>
      </c>
    </row>
    <row r="25" spans="1:12" ht="15.75">
      <c r="A25" s="15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8" spans="1:12">
      <c r="A28" s="18" t="s">
        <v>354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31" spans="1:12">
      <c r="B31" s="107" t="s">
        <v>179</v>
      </c>
      <c r="F31" s="107" t="s">
        <v>355</v>
      </c>
      <c r="J31" s="107" t="s">
        <v>252</v>
      </c>
    </row>
    <row r="32" spans="1:12">
      <c r="B32" s="73">
        <v>1</v>
      </c>
      <c r="C32" s="74">
        <v>2</v>
      </c>
      <c r="D32" s="75">
        <v>3</v>
      </c>
      <c r="F32" s="55">
        <f t="array" ref="F32:H34">MINVERSE(B32:D34)</f>
        <v>1.4444444444444449</v>
      </c>
      <c r="G32" s="56">
        <v>-1.2777777777777779</v>
      </c>
      <c r="H32" s="57">
        <v>0.66666666666666663</v>
      </c>
      <c r="J32" s="55">
        <f t="array" ref="J32:L34">MMULT(B32:D34,F32:H34)</f>
        <v>0.99999999999999978</v>
      </c>
      <c r="K32" s="56">
        <v>0</v>
      </c>
      <c r="L32" s="57">
        <v>0</v>
      </c>
    </row>
    <row r="33" spans="2:12">
      <c r="B33" s="35">
        <v>4</v>
      </c>
      <c r="C33" s="36">
        <v>8</v>
      </c>
      <c r="D33" s="37">
        <v>6</v>
      </c>
      <c r="F33" s="58">
        <v>-1.2222222222222225</v>
      </c>
      <c r="G33" s="59">
        <v>0.88888888888888895</v>
      </c>
      <c r="H33" s="60">
        <v>-0.33333333333333331</v>
      </c>
      <c r="J33" s="58">
        <v>-8.8817841970012523E-16</v>
      </c>
      <c r="K33" s="59">
        <v>1</v>
      </c>
      <c r="L33" s="60">
        <v>0</v>
      </c>
    </row>
    <row r="34" spans="2:12">
      <c r="B34" s="38">
        <v>7</v>
      </c>
      <c r="C34" s="39">
        <v>11</v>
      </c>
      <c r="D34" s="40">
        <v>5</v>
      </c>
      <c r="F34" s="61">
        <v>0.66666666666666674</v>
      </c>
      <c r="G34" s="62">
        <v>-0.16666666666666669</v>
      </c>
      <c r="H34" s="63">
        <v>0</v>
      </c>
      <c r="J34" s="61">
        <v>0</v>
      </c>
      <c r="K34" s="62">
        <v>4.4408920985006262E-16</v>
      </c>
      <c r="L34" s="63">
        <v>0.99999999999999956</v>
      </c>
    </row>
    <row r="36" spans="2:12">
      <c r="J36" s="107" t="s">
        <v>252</v>
      </c>
    </row>
    <row r="37" spans="2:12">
      <c r="B37" s="6" t="s">
        <v>356</v>
      </c>
      <c r="C37" s="8" t="s">
        <v>357</v>
      </c>
      <c r="D37" s="8"/>
      <c r="E37" s="8"/>
      <c r="F37" s="8"/>
      <c r="G37" s="8"/>
      <c r="H37" s="8"/>
      <c r="J37" s="55">
        <f t="array" ref="J37:L39">MMULT(F32:H34,B32:D34)</f>
        <v>0.99999999999999911</v>
      </c>
      <c r="K37" s="56">
        <v>-8.8817841970012523E-16</v>
      </c>
      <c r="L37" s="57">
        <v>0</v>
      </c>
    </row>
    <row r="38" spans="2:12">
      <c r="C38" s="8"/>
      <c r="D38" s="8"/>
      <c r="E38" s="8"/>
      <c r="F38" s="8"/>
      <c r="G38" s="8"/>
      <c r="H38" s="8"/>
      <c r="J38" s="58">
        <v>0</v>
      </c>
      <c r="K38" s="59">
        <v>0.99999999999999956</v>
      </c>
      <c r="L38" s="60">
        <v>-4.4408920985006262E-16</v>
      </c>
    </row>
    <row r="39" spans="2:12">
      <c r="C39" s="8"/>
      <c r="D39" s="8"/>
      <c r="E39" s="8"/>
      <c r="F39" s="8"/>
      <c r="G39" s="8"/>
      <c r="H39" s="8"/>
      <c r="J39" s="61">
        <v>0</v>
      </c>
      <c r="K39" s="62">
        <v>0</v>
      </c>
      <c r="L39" s="63">
        <v>1</v>
      </c>
    </row>
    <row r="42" spans="2:12">
      <c r="B42" s="107" t="s">
        <v>96</v>
      </c>
      <c r="D42" s="107" t="s">
        <v>256</v>
      </c>
      <c r="F42" s="107" t="s">
        <v>259</v>
      </c>
    </row>
    <row r="43" spans="2:12">
      <c r="B43" s="108">
        <v>4</v>
      </c>
      <c r="D43" s="67">
        <f t="array" ref="D43:D45">MMULT(F32:H34,B43:B45)</f>
        <v>-18.333333333333336</v>
      </c>
      <c r="F43" s="67">
        <f t="array" ref="F43:F45">MMULT(B32:D34,D43:D45)</f>
        <v>4</v>
      </c>
    </row>
    <row r="44" spans="2:12">
      <c r="B44" s="50">
        <v>22</v>
      </c>
      <c r="D44" s="68">
        <v>12.666666666666668</v>
      </c>
      <c r="F44" s="68">
        <v>22</v>
      </c>
    </row>
    <row r="45" spans="2:12">
      <c r="B45" s="51">
        <v>6</v>
      </c>
      <c r="D45" s="69">
        <v>-1</v>
      </c>
      <c r="F45" s="69">
        <v>6</v>
      </c>
    </row>
    <row r="46" spans="2:12" ht="14.25">
      <c r="B46" s="9" t="s">
        <v>257</v>
      </c>
      <c r="C46" s="100" t="s">
        <v>261</v>
      </c>
      <c r="D46" s="9" t="s">
        <v>258</v>
      </c>
      <c r="E46" s="100" t="s">
        <v>261</v>
      </c>
      <c r="F46" s="9" t="s">
        <v>260</v>
      </c>
    </row>
    <row r="49" spans="1:12">
      <c r="B49" s="6" t="s">
        <v>223</v>
      </c>
      <c r="C49" s="8" t="s">
        <v>358</v>
      </c>
      <c r="D49" s="8"/>
      <c r="E49" s="8"/>
      <c r="F49" s="8"/>
      <c r="G49" s="8"/>
      <c r="H49" s="8"/>
    </row>
    <row r="50" spans="1:12">
      <c r="C50" s="8" t="s">
        <v>359</v>
      </c>
      <c r="D50" s="8"/>
      <c r="E50" s="8"/>
      <c r="F50" s="8"/>
      <c r="G50" s="8"/>
      <c r="H50" s="8"/>
    </row>
    <row r="51" spans="1:12">
      <c r="C51" s="8"/>
      <c r="D51" s="8"/>
      <c r="E51" s="8"/>
      <c r="F51" s="8"/>
      <c r="G51" s="8"/>
      <c r="H51" s="8"/>
    </row>
    <row r="52" spans="1:12">
      <c r="C52" s="8" t="s">
        <v>262</v>
      </c>
      <c r="D52" s="8"/>
      <c r="E52" s="8"/>
      <c r="F52" s="8"/>
      <c r="G52" s="8"/>
      <c r="H52" s="8"/>
    </row>
    <row r="53" spans="1:12">
      <c r="C53" s="8"/>
      <c r="D53" s="101" t="s">
        <v>263</v>
      </c>
      <c r="E53" s="8"/>
      <c r="F53" s="8"/>
      <c r="G53" s="8"/>
      <c r="H53" s="8"/>
    </row>
    <row r="54" spans="1:12">
      <c r="C54" s="8"/>
      <c r="D54" s="101" t="s">
        <v>361</v>
      </c>
      <c r="E54" s="8"/>
      <c r="F54" s="8"/>
      <c r="G54" s="8"/>
      <c r="H54" s="8"/>
    </row>
    <row r="55" spans="1:12">
      <c r="C55" s="8"/>
      <c r="D55" s="101" t="s">
        <v>360</v>
      </c>
      <c r="E55" s="8"/>
      <c r="F55" s="8"/>
      <c r="G55" s="8"/>
      <c r="H55" s="8"/>
    </row>
    <row r="56" spans="1:12">
      <c r="C56" s="8"/>
      <c r="D56" s="101" t="s">
        <v>362</v>
      </c>
      <c r="E56" s="8"/>
      <c r="F56" s="8"/>
      <c r="G56" s="8"/>
      <c r="H56" s="8"/>
    </row>
    <row r="57" spans="1:12">
      <c r="C57" s="8"/>
      <c r="D57" s="8"/>
      <c r="E57" s="8"/>
      <c r="F57" s="8"/>
      <c r="G57" s="8"/>
      <c r="H57" s="8"/>
    </row>
    <row r="61" spans="1:12">
      <c r="A61" s="24" t="s">
        <v>363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4" spans="1:12" ht="14.25">
      <c r="B64" s="107" t="s">
        <v>267</v>
      </c>
      <c r="G64" s="107" t="s">
        <v>366</v>
      </c>
    </row>
    <row r="65" spans="2:10">
      <c r="B65" s="73">
        <v>1</v>
      </c>
      <c r="C65" s="74">
        <v>2</v>
      </c>
      <c r="D65" s="74">
        <v>3</v>
      </c>
      <c r="E65" s="75">
        <v>4</v>
      </c>
      <c r="G65" s="55">
        <f t="array" ref="G65:I68">TRANSPOSE(B65:E67)</f>
        <v>1</v>
      </c>
      <c r="H65" s="56">
        <v>4</v>
      </c>
      <c r="I65" s="57">
        <v>7</v>
      </c>
    </row>
    <row r="66" spans="2:10">
      <c r="B66" s="35">
        <v>4</v>
      </c>
      <c r="C66" s="36">
        <v>8</v>
      </c>
      <c r="D66" s="36">
        <v>6</v>
      </c>
      <c r="E66" s="37">
        <v>22</v>
      </c>
      <c r="G66" s="58">
        <v>2</v>
      </c>
      <c r="H66" s="59">
        <v>8</v>
      </c>
      <c r="I66" s="60">
        <v>11</v>
      </c>
    </row>
    <row r="67" spans="2:10">
      <c r="B67" s="38">
        <v>7</v>
      </c>
      <c r="C67" s="39">
        <v>11</v>
      </c>
      <c r="D67" s="39">
        <v>5</v>
      </c>
      <c r="E67" s="40">
        <v>6</v>
      </c>
      <c r="G67" s="58">
        <v>3</v>
      </c>
      <c r="H67" s="59">
        <v>6</v>
      </c>
      <c r="I67" s="60">
        <v>5</v>
      </c>
    </row>
    <row r="68" spans="2:10">
      <c r="B68" s="9" t="s">
        <v>269</v>
      </c>
      <c r="G68" s="61">
        <v>4</v>
      </c>
      <c r="H68" s="62">
        <v>22</v>
      </c>
      <c r="I68" s="63">
        <v>6</v>
      </c>
    </row>
    <row r="69" spans="2:10">
      <c r="G69" s="9" t="s">
        <v>208</v>
      </c>
    </row>
    <row r="70" spans="2:10">
      <c r="G70" s="9"/>
    </row>
    <row r="71" spans="2:10">
      <c r="B71" s="6" t="s">
        <v>369</v>
      </c>
      <c r="C71" s="8" t="s">
        <v>268</v>
      </c>
      <c r="D71" s="8"/>
      <c r="E71" s="8"/>
    </row>
    <row r="72" spans="2:10">
      <c r="C72" s="8" t="s">
        <v>367</v>
      </c>
      <c r="D72" s="8"/>
      <c r="E72" s="8"/>
    </row>
    <row r="73" spans="2:10">
      <c r="C73" s="8" t="s">
        <v>368</v>
      </c>
      <c r="D73" s="8"/>
      <c r="E73" s="8"/>
    </row>
    <row r="76" spans="2:10" ht="14.25">
      <c r="B76" s="107" t="s">
        <v>364</v>
      </c>
      <c r="G76" s="244" t="s">
        <v>365</v>
      </c>
      <c r="H76" s="244"/>
    </row>
    <row r="77" spans="2:10">
      <c r="B77" s="55">
        <f t="array" ref="B77:E80">MMULT(G65:I68,B65:E67)</f>
        <v>66</v>
      </c>
      <c r="C77" s="56">
        <v>111</v>
      </c>
      <c r="D77" s="56">
        <v>62</v>
      </c>
      <c r="E77" s="57">
        <v>134</v>
      </c>
      <c r="G77" s="55">
        <f t="array" ref="G77:J80">MINVERSE(B77:E80)</f>
        <v>-249915983862153.63</v>
      </c>
      <c r="H77" s="56">
        <v>172669225213852.06</v>
      </c>
      <c r="I77" s="56">
        <v>-13631780937936.604</v>
      </c>
      <c r="J77" s="57">
        <v>-13631780937935.514</v>
      </c>
    </row>
    <row r="78" spans="2:10">
      <c r="B78" s="58">
        <v>111</v>
      </c>
      <c r="C78" s="59">
        <v>189</v>
      </c>
      <c r="D78" s="59">
        <v>109</v>
      </c>
      <c r="E78" s="60">
        <v>250</v>
      </c>
      <c r="G78" s="58">
        <v>172669225213851.56</v>
      </c>
      <c r="H78" s="59">
        <v>-119298737420479.48</v>
      </c>
      <c r="I78" s="59">
        <v>9418321375301.5137</v>
      </c>
      <c r="J78" s="60">
        <v>9418321375300.9121</v>
      </c>
    </row>
    <row r="79" spans="2:10">
      <c r="B79" s="58">
        <v>62</v>
      </c>
      <c r="C79" s="59">
        <v>109</v>
      </c>
      <c r="D79" s="59">
        <v>70</v>
      </c>
      <c r="E79" s="60">
        <v>174</v>
      </c>
      <c r="G79" s="58">
        <v>-13631780937935.539</v>
      </c>
      <c r="H79" s="59">
        <v>9418321375300.8027</v>
      </c>
      <c r="I79" s="59">
        <v>-743551687523.45203</v>
      </c>
      <c r="J79" s="60">
        <v>-743551687523.80103</v>
      </c>
    </row>
    <row r="80" spans="2:10">
      <c r="B80" s="61">
        <v>134</v>
      </c>
      <c r="C80" s="62">
        <v>250</v>
      </c>
      <c r="D80" s="62">
        <v>174</v>
      </c>
      <c r="E80" s="63">
        <v>536</v>
      </c>
      <c r="G80" s="61">
        <v>-13631780937935.668</v>
      </c>
      <c r="H80" s="62">
        <v>9418321375301.041</v>
      </c>
      <c r="I80" s="62">
        <v>-743551687523.86707</v>
      </c>
      <c r="J80" s="63">
        <v>-743551687523.74377</v>
      </c>
    </row>
    <row r="81" spans="2:10">
      <c r="B81" s="9" t="s">
        <v>270</v>
      </c>
      <c r="G81" s="9" t="s">
        <v>270</v>
      </c>
    </row>
    <row r="83" spans="2:10">
      <c r="B83" s="107" t="s">
        <v>252</v>
      </c>
    </row>
    <row r="84" spans="2:10">
      <c r="B84" s="110">
        <f t="array" ref="B84:E87">MMULT(B77:E80,G77:J80)</f>
        <v>1</v>
      </c>
      <c r="C84" s="111">
        <v>3.25</v>
      </c>
      <c r="D84" s="111">
        <v>-9.375E-2</v>
      </c>
      <c r="E84" s="112">
        <v>4.6875E-2</v>
      </c>
      <c r="G84" s="6" t="s">
        <v>369</v>
      </c>
      <c r="H84" s="101" t="s">
        <v>271</v>
      </c>
      <c r="I84" s="8"/>
      <c r="J84" s="8"/>
    </row>
    <row r="85" spans="2:10">
      <c r="B85" s="113">
        <v>1</v>
      </c>
      <c r="C85" s="114">
        <v>4</v>
      </c>
      <c r="D85" s="114">
        <v>-3.125E-2</v>
      </c>
      <c r="E85" s="115">
        <v>0.25</v>
      </c>
      <c r="H85" s="101" t="s">
        <v>272</v>
      </c>
      <c r="I85" s="8"/>
      <c r="J85" s="8"/>
    </row>
    <row r="86" spans="2:10">
      <c r="B86" s="113">
        <v>2</v>
      </c>
      <c r="C86" s="114">
        <v>1.5</v>
      </c>
      <c r="D86" s="114">
        <v>1.109375</v>
      </c>
      <c r="E86" s="115">
        <v>1.5625E-2</v>
      </c>
      <c r="H86" s="101" t="s">
        <v>273</v>
      </c>
      <c r="I86" s="8"/>
      <c r="J86" s="8"/>
    </row>
    <row r="87" spans="2:10">
      <c r="B87" s="116">
        <v>2</v>
      </c>
      <c r="C87" s="117">
        <v>2</v>
      </c>
      <c r="D87" s="117">
        <v>0.375</v>
      </c>
      <c r="E87" s="118">
        <v>1.1875</v>
      </c>
      <c r="H87" s="8"/>
      <c r="I87" s="8"/>
      <c r="J87" s="8"/>
    </row>
    <row r="88" spans="2:10">
      <c r="B88" s="9" t="s">
        <v>270</v>
      </c>
    </row>
  </sheetData>
  <mergeCells count="1">
    <mergeCell ref="G76:H7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3"/>
  <sheetViews>
    <sheetView workbookViewId="0">
      <selection activeCell="C2" sqref="C2"/>
    </sheetView>
  </sheetViews>
  <sheetFormatPr baseColWidth="10" defaultRowHeight="12.75"/>
  <cols>
    <col min="5" max="5" width="13" bestFit="1" customWidth="1"/>
    <col min="7" max="9" width="13" bestFit="1" customWidth="1"/>
    <col min="10" max="10" width="13.140625" bestFit="1" customWidth="1"/>
    <col min="11" max="12" width="11.5703125" bestFit="1" customWidth="1"/>
  </cols>
  <sheetData>
    <row r="1" spans="1:53" s="10" customFormat="1" ht="20.25">
      <c r="A1" s="10" t="s">
        <v>244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>
      <c r="A7" s="9" t="s">
        <v>264</v>
      </c>
    </row>
    <row r="8" spans="1:53">
      <c r="B8" s="99" t="s">
        <v>265</v>
      </c>
    </row>
    <row r="9" spans="1:53">
      <c r="B9" s="99" t="s">
        <v>266</v>
      </c>
    </row>
    <row r="10" spans="1:53">
      <c r="B10" s="99" t="s">
        <v>279</v>
      </c>
    </row>
    <row r="12" spans="1:53">
      <c r="A12" s="9" t="s">
        <v>276</v>
      </c>
    </row>
    <row r="14" spans="1:53">
      <c r="A14" s="9" t="s">
        <v>277</v>
      </c>
    </row>
    <row r="16" spans="1:53">
      <c r="A16" s="9" t="s">
        <v>278</v>
      </c>
    </row>
    <row r="20" spans="1:12" ht="15.75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3" spans="1:12">
      <c r="A23" s="17" t="s">
        <v>354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6" spans="1:12" ht="14.25">
      <c r="B26" s="107" t="s">
        <v>179</v>
      </c>
      <c r="F26" s="107" t="s">
        <v>372</v>
      </c>
      <c r="J26" s="107" t="s">
        <v>252</v>
      </c>
    </row>
    <row r="27" spans="1:12">
      <c r="B27" s="73">
        <v>1</v>
      </c>
      <c r="C27" s="74">
        <v>2</v>
      </c>
      <c r="D27" s="75">
        <v>3</v>
      </c>
      <c r="F27" s="55">
        <f t="array" ref="F27:H29">MINVERSE(B27:D29)</f>
        <v>1.4444444444444449</v>
      </c>
      <c r="G27" s="56">
        <v>-1.2777777777777779</v>
      </c>
      <c r="H27" s="57">
        <v>0.66666666666666663</v>
      </c>
      <c r="J27" s="55">
        <f t="array" ref="J27:L29">MMULT(B27:D29,F27:H29)</f>
        <v>0.99999999999999978</v>
      </c>
      <c r="K27" s="56">
        <v>0</v>
      </c>
      <c r="L27" s="57">
        <v>0</v>
      </c>
    </row>
    <row r="28" spans="1:12">
      <c r="B28" s="35">
        <v>4</v>
      </c>
      <c r="C28" s="36">
        <v>8</v>
      </c>
      <c r="D28" s="37">
        <v>6</v>
      </c>
      <c r="F28" s="58">
        <v>-1.2222222222222225</v>
      </c>
      <c r="G28" s="59">
        <v>0.88888888888888895</v>
      </c>
      <c r="H28" s="60">
        <v>-0.33333333333333331</v>
      </c>
      <c r="J28" s="58">
        <v>-8.8817841970012523E-16</v>
      </c>
      <c r="K28" s="59">
        <v>1</v>
      </c>
      <c r="L28" s="60">
        <v>0</v>
      </c>
    </row>
    <row r="29" spans="1:12">
      <c r="B29" s="38">
        <v>7</v>
      </c>
      <c r="C29" s="39">
        <v>11</v>
      </c>
      <c r="D29" s="40">
        <v>5</v>
      </c>
      <c r="F29" s="61">
        <v>0.66666666666666674</v>
      </c>
      <c r="G29" s="62">
        <v>-0.16666666666666669</v>
      </c>
      <c r="H29" s="63">
        <v>0</v>
      </c>
      <c r="J29" s="61">
        <v>0</v>
      </c>
      <c r="K29" s="62">
        <v>4.4408920985006262E-16</v>
      </c>
      <c r="L29" s="63">
        <v>0.99999999999999956</v>
      </c>
    </row>
    <row r="30" spans="1:12">
      <c r="C30" s="122" t="s">
        <v>274</v>
      </c>
      <c r="D30" s="123">
        <f t="array" ref="D30">MDETERM(B27:D29)</f>
        <v>-17.999999999999996</v>
      </c>
    </row>
    <row r="33" spans="1:15">
      <c r="B33" s="6" t="s">
        <v>223</v>
      </c>
      <c r="C33" s="101" t="s">
        <v>373</v>
      </c>
      <c r="D33" s="8"/>
      <c r="E33" s="8"/>
      <c r="F33" s="8"/>
      <c r="G33" s="8"/>
    </row>
    <row r="34" spans="1:15">
      <c r="C34" s="101" t="s">
        <v>275</v>
      </c>
      <c r="D34" s="8"/>
      <c r="E34" s="8"/>
      <c r="F34" s="8"/>
      <c r="G34" s="8"/>
    </row>
    <row r="35" spans="1:15">
      <c r="B35" s="99"/>
      <c r="C35" s="8"/>
      <c r="D35" s="8"/>
      <c r="E35" s="8"/>
      <c r="F35" s="8"/>
      <c r="G35" s="8"/>
    </row>
    <row r="36" spans="1:15">
      <c r="B36" s="99"/>
      <c r="C36" s="8"/>
      <c r="D36" s="8"/>
      <c r="E36" s="8"/>
      <c r="F36" s="8"/>
      <c r="G36" s="8"/>
    </row>
    <row r="37" spans="1:15">
      <c r="B37" s="99"/>
    </row>
    <row r="39" spans="1:15">
      <c r="A39" s="24" t="s">
        <v>370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2" spans="1:15" ht="14.25">
      <c r="B42" s="244" t="s">
        <v>364</v>
      </c>
      <c r="C42" s="244"/>
      <c r="G42" s="244" t="s">
        <v>365</v>
      </c>
      <c r="H42" s="244"/>
      <c r="L42" s="107" t="s">
        <v>252</v>
      </c>
    </row>
    <row r="43" spans="1:15">
      <c r="B43" s="73">
        <v>66</v>
      </c>
      <c r="C43" s="74">
        <v>111</v>
      </c>
      <c r="D43" s="74">
        <v>62</v>
      </c>
      <c r="E43" s="75">
        <v>134</v>
      </c>
      <c r="G43" s="55">
        <f t="array" ref="G43:J46">MINVERSE(B43:E46)</f>
        <v>-249915983862153.63</v>
      </c>
      <c r="H43" s="56">
        <v>172669225213852.06</v>
      </c>
      <c r="I43" s="56">
        <v>-13631780937936.604</v>
      </c>
      <c r="J43" s="57">
        <v>-13631780937935.514</v>
      </c>
      <c r="L43" s="55">
        <v>1</v>
      </c>
      <c r="M43" s="56">
        <v>3.25</v>
      </c>
      <c r="N43" s="56">
        <v>-9.375E-2</v>
      </c>
      <c r="O43" s="57">
        <v>4.6875E-2</v>
      </c>
    </row>
    <row r="44" spans="1:15">
      <c r="B44" s="35">
        <v>111</v>
      </c>
      <c r="C44" s="36">
        <v>189</v>
      </c>
      <c r="D44" s="36">
        <v>109</v>
      </c>
      <c r="E44" s="37">
        <v>250</v>
      </c>
      <c r="G44" s="58">
        <v>172669225213851.56</v>
      </c>
      <c r="H44" s="59">
        <v>-119298737420479.48</v>
      </c>
      <c r="I44" s="59">
        <v>9418321375301.5137</v>
      </c>
      <c r="J44" s="60">
        <v>9418321375300.9121</v>
      </c>
      <c r="L44" s="58">
        <v>1</v>
      </c>
      <c r="M44" s="59">
        <v>4</v>
      </c>
      <c r="N44" s="59">
        <v>-3.125E-2</v>
      </c>
      <c r="O44" s="60">
        <v>0.25</v>
      </c>
    </row>
    <row r="45" spans="1:15">
      <c r="B45" s="35">
        <v>62</v>
      </c>
      <c r="C45" s="36">
        <v>109</v>
      </c>
      <c r="D45" s="36">
        <v>70</v>
      </c>
      <c r="E45" s="37">
        <v>174</v>
      </c>
      <c r="G45" s="58">
        <v>-13631780937935.539</v>
      </c>
      <c r="H45" s="59">
        <v>9418321375300.8027</v>
      </c>
      <c r="I45" s="59">
        <v>-743551687523.45203</v>
      </c>
      <c r="J45" s="60">
        <v>-743551687523.80103</v>
      </c>
      <c r="L45" s="58">
        <v>2</v>
      </c>
      <c r="M45" s="59">
        <v>1.5</v>
      </c>
      <c r="N45" s="59">
        <v>1.109375</v>
      </c>
      <c r="O45" s="60">
        <v>1.5625E-2</v>
      </c>
    </row>
    <row r="46" spans="1:15">
      <c r="B46" s="38">
        <v>134</v>
      </c>
      <c r="C46" s="39">
        <v>250</v>
      </c>
      <c r="D46" s="39">
        <v>174</v>
      </c>
      <c r="E46" s="40">
        <v>536</v>
      </c>
      <c r="G46" s="61">
        <v>-13631780937935.668</v>
      </c>
      <c r="H46" s="62">
        <v>9418321375301.041</v>
      </c>
      <c r="I46" s="62">
        <v>-743551687523.86707</v>
      </c>
      <c r="J46" s="63">
        <v>-743551687523.74377</v>
      </c>
      <c r="L46" s="61">
        <v>2</v>
      </c>
      <c r="M46" s="62">
        <v>2</v>
      </c>
      <c r="N46" s="62">
        <v>0.375</v>
      </c>
      <c r="O46" s="63">
        <v>1.1875</v>
      </c>
    </row>
    <row r="47" spans="1:15">
      <c r="B47" s="9"/>
      <c r="D47" s="122" t="s">
        <v>274</v>
      </c>
      <c r="E47" s="123">
        <f t="array" ref="E47">MDETERM(B43:E46)</f>
        <v>-4.3574643893151595E-10</v>
      </c>
      <c r="G47" s="9"/>
    </row>
    <row r="50" spans="2:7">
      <c r="B50" s="6" t="s">
        <v>223</v>
      </c>
      <c r="C50" s="101" t="s">
        <v>374</v>
      </c>
      <c r="D50" s="8"/>
      <c r="E50" s="8"/>
      <c r="F50" s="8"/>
      <c r="G50" s="8"/>
    </row>
    <row r="51" spans="2:7">
      <c r="C51" s="101" t="s">
        <v>375</v>
      </c>
      <c r="D51" s="8"/>
      <c r="E51" s="8"/>
      <c r="F51" s="8"/>
      <c r="G51" s="8"/>
    </row>
    <row r="52" spans="2:7">
      <c r="B52" s="99"/>
      <c r="C52" s="8"/>
      <c r="D52" s="8"/>
      <c r="E52" s="8"/>
      <c r="F52" s="8"/>
      <c r="G52" s="8"/>
    </row>
    <row r="53" spans="2:7">
      <c r="B53" s="99"/>
      <c r="C53" s="8"/>
      <c r="D53" s="8"/>
      <c r="E53" s="8"/>
      <c r="F53" s="8"/>
      <c r="G53" s="8"/>
    </row>
  </sheetData>
  <mergeCells count="2">
    <mergeCell ref="G42:H42"/>
    <mergeCell ref="B42:C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96"/>
  <sheetViews>
    <sheetView workbookViewId="0">
      <selection activeCell="C16" sqref="C16"/>
    </sheetView>
  </sheetViews>
  <sheetFormatPr baseColWidth="10" defaultRowHeight="12.75"/>
  <cols>
    <col min="2" max="2" width="13.28515625" customWidth="1"/>
    <col min="3" max="6" width="12.85546875" bestFit="1" customWidth="1"/>
    <col min="7" max="7" width="13.7109375" customWidth="1"/>
    <col min="8" max="8" width="12.7109375" customWidth="1"/>
  </cols>
  <sheetData>
    <row r="1" spans="1:53" s="10" customFormat="1" ht="20.25">
      <c r="A1" s="10" t="s">
        <v>280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53" ht="15.75">
      <c r="A7" s="9" t="s">
        <v>281</v>
      </c>
    </row>
    <row r="9" spans="1:53">
      <c r="B9" s="9" t="s">
        <v>282</v>
      </c>
    </row>
    <row r="10" spans="1:53">
      <c r="B10" s="9" t="s">
        <v>283</v>
      </c>
    </row>
    <row r="12" spans="1:53">
      <c r="A12" s="9" t="s">
        <v>284</v>
      </c>
    </row>
    <row r="13" spans="1:53">
      <c r="A13" s="9" t="s">
        <v>285</v>
      </c>
    </row>
    <row r="14" spans="1:53">
      <c r="A14" s="9" t="s">
        <v>286</v>
      </c>
    </row>
    <row r="15" spans="1:53">
      <c r="A15" s="99" t="s">
        <v>287</v>
      </c>
    </row>
    <row r="17" spans="1:12">
      <c r="A17" s="9" t="s">
        <v>288</v>
      </c>
    </row>
    <row r="21" spans="1:12" ht="15.75">
      <c r="A21" s="15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4" spans="1:12">
      <c r="A24" s="17" t="s">
        <v>289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B27" s="6" t="s">
        <v>6</v>
      </c>
      <c r="C27" s="109" t="s">
        <v>290</v>
      </c>
      <c r="D27" s="2"/>
      <c r="E27" s="2"/>
      <c r="F27" s="2"/>
      <c r="G27" s="2"/>
      <c r="H27" s="2"/>
    </row>
    <row r="28" spans="1:12">
      <c r="C28" s="109" t="s">
        <v>376</v>
      </c>
      <c r="D28" s="2"/>
      <c r="E28" s="2"/>
      <c r="F28" s="2"/>
      <c r="G28" s="2"/>
      <c r="H28" s="2"/>
    </row>
    <row r="29" spans="1:12">
      <c r="C29" s="109" t="s">
        <v>377</v>
      </c>
      <c r="D29" s="2"/>
      <c r="E29" s="2"/>
      <c r="F29" s="2"/>
      <c r="G29" s="2"/>
      <c r="H29" s="2"/>
    </row>
    <row r="30" spans="1:12">
      <c r="C30" s="109" t="s">
        <v>326</v>
      </c>
      <c r="D30" s="2"/>
      <c r="E30" s="2"/>
      <c r="F30" s="2"/>
      <c r="G30" s="2"/>
      <c r="H30" s="2"/>
    </row>
    <row r="31" spans="1:12">
      <c r="C31" s="109" t="s">
        <v>327</v>
      </c>
      <c r="D31" s="2"/>
      <c r="E31" s="2"/>
      <c r="F31" s="2"/>
      <c r="G31" s="2"/>
      <c r="H31" s="2"/>
    </row>
    <row r="32" spans="1:12">
      <c r="A32" s="105" t="s">
        <v>48</v>
      </c>
      <c r="B32" s="245"/>
      <c r="C32" s="246"/>
      <c r="D32" s="246"/>
      <c r="E32" s="246"/>
      <c r="F32" s="246"/>
    </row>
    <row r="33" spans="1:7">
      <c r="A33" s="105"/>
      <c r="B33" s="103"/>
      <c r="C33" s="104"/>
      <c r="D33" s="104"/>
      <c r="E33" s="104"/>
      <c r="F33" s="104"/>
    </row>
    <row r="34" spans="1:7">
      <c r="B34" s="106"/>
      <c r="C34" s="6" t="s">
        <v>291</v>
      </c>
      <c r="D34" s="6" t="s">
        <v>292</v>
      </c>
      <c r="E34" s="6" t="s">
        <v>293</v>
      </c>
      <c r="F34" s="6" t="s">
        <v>294</v>
      </c>
      <c r="G34" s="6" t="s">
        <v>295</v>
      </c>
    </row>
    <row r="35" spans="1:7">
      <c r="B35" s="6" t="s">
        <v>296</v>
      </c>
      <c r="C35" s="8">
        <v>-3.9251389587916755E-2</v>
      </c>
      <c r="D35" s="8">
        <v>0.65479336129857912</v>
      </c>
      <c r="E35" s="8">
        <v>-0.24087454044652515</v>
      </c>
      <c r="F35" s="8">
        <v>-0.45438340104521446</v>
      </c>
      <c r="G35" s="8">
        <v>0.16219457111830485</v>
      </c>
    </row>
    <row r="36" spans="1:7">
      <c r="B36" s="6" t="s">
        <v>297</v>
      </c>
      <c r="C36" s="8">
        <v>5.6532050263296253E-2</v>
      </c>
      <c r="D36" s="8">
        <v>-0.25223089368388329</v>
      </c>
      <c r="E36" s="8">
        <v>-0.2688498991803282</v>
      </c>
      <c r="F36" s="8">
        <v>-1.568851565605959</v>
      </c>
      <c r="G36" s="8">
        <v>-1.6713720560924308</v>
      </c>
    </row>
    <row r="37" spans="1:7">
      <c r="B37" s="6" t="s">
        <v>298</v>
      </c>
      <c r="C37" s="8">
        <v>0.84570814330283872</v>
      </c>
      <c r="D37" s="8">
        <v>-6.8880692094606677E-2</v>
      </c>
      <c r="E37" s="8">
        <v>-2.573088918428228</v>
      </c>
      <c r="F37" s="8">
        <v>0.30310517624159738</v>
      </c>
      <c r="G37" s="8">
        <v>-1.5320684565248839</v>
      </c>
    </row>
    <row r="38" spans="1:7">
      <c r="B38" s="6" t="s">
        <v>299</v>
      </c>
      <c r="C38" s="8">
        <v>-0.51678020073622666</v>
      </c>
      <c r="D38" s="8">
        <v>-0.27383430279959586</v>
      </c>
      <c r="E38" s="8">
        <v>-0.751896347876013</v>
      </c>
      <c r="F38" s="8">
        <v>1.5854440082040813</v>
      </c>
      <c r="G38" s="8">
        <v>-0.51245922332885896</v>
      </c>
    </row>
    <row r="39" spans="1:7">
      <c r="B39" s="6" t="s">
        <v>300</v>
      </c>
      <c r="C39" s="8">
        <v>0.29827040208460937</v>
      </c>
      <c r="D39" s="8">
        <v>-0.47662398013224044</v>
      </c>
      <c r="E39" s="8">
        <v>-1.0093545408559803</v>
      </c>
      <c r="F39" s="8">
        <v>0.26206688259582023</v>
      </c>
      <c r="G39" s="8">
        <v>0.43348791761260225</v>
      </c>
    </row>
    <row r="40" spans="1:7">
      <c r="B40" s="6" t="s">
        <v>301</v>
      </c>
      <c r="C40" s="8">
        <v>-0.64529608764677848</v>
      </c>
      <c r="D40" s="8">
        <v>0.884571594304846</v>
      </c>
      <c r="E40" s="8">
        <v>-2.294215302176817E-3</v>
      </c>
      <c r="F40" s="8">
        <v>0.44475898886762405</v>
      </c>
      <c r="G40" s="8">
        <v>-0.44850793957353868</v>
      </c>
    </row>
    <row r="41" spans="1:7">
      <c r="B41" s="6" t="s">
        <v>302</v>
      </c>
      <c r="C41" s="8">
        <v>1.9006537306973075</v>
      </c>
      <c r="D41" s="8">
        <v>-1.5995645205812619</v>
      </c>
      <c r="E41" s="8">
        <v>1.2648020413879761</v>
      </c>
      <c r="F41" s="8">
        <v>0.14256867244717894</v>
      </c>
      <c r="G41" s="8">
        <v>-0.78666193371020332</v>
      </c>
    </row>
    <row r="42" spans="1:7">
      <c r="B42" s="6" t="s">
        <v>303</v>
      </c>
      <c r="C42" s="8">
        <v>1.141124575856582</v>
      </c>
      <c r="D42" s="8">
        <v>0.93491415207691508</v>
      </c>
      <c r="E42" s="8">
        <v>-0.34684271475254785</v>
      </c>
      <c r="F42" s="8">
        <v>0.41465252062035796</v>
      </c>
      <c r="G42" s="8">
        <v>0.1659705634852634</v>
      </c>
    </row>
    <row r="43" spans="1:7">
      <c r="B43" s="6" t="s">
        <v>304</v>
      </c>
      <c r="C43" s="8">
        <v>-0.71497064725467452</v>
      </c>
      <c r="D43" s="8">
        <v>-9.9127749473102184E-2</v>
      </c>
      <c r="E43" s="8">
        <v>-6.1146462104644562E-2</v>
      </c>
      <c r="F43" s="8">
        <v>0.27119335185486576</v>
      </c>
      <c r="G43" s="8">
        <v>-0.98550062553276463</v>
      </c>
    </row>
    <row r="44" spans="1:7">
      <c r="B44" s="6" t="s">
        <v>305</v>
      </c>
      <c r="C44" s="8">
        <v>-2.437141797740483</v>
      </c>
      <c r="D44" s="8">
        <v>-1.0179301685406104</v>
      </c>
      <c r="E44" s="8">
        <v>1.7677979459769568</v>
      </c>
      <c r="F44" s="8">
        <v>-0.31426405087631665</v>
      </c>
      <c r="G44" s="8">
        <v>1.154244716541035</v>
      </c>
    </row>
    <row r="45" spans="1:7">
      <c r="B45" s="6" t="s">
        <v>306</v>
      </c>
      <c r="C45" s="8">
        <v>0.76417659448954456</v>
      </c>
      <c r="D45" s="8">
        <v>-1.3013385348834525</v>
      </c>
      <c r="E45" s="8">
        <v>2.0419591467972396</v>
      </c>
      <c r="F45" s="8">
        <v>0.13540050875175602</v>
      </c>
      <c r="G45" s="8">
        <v>-0.97165490159199563</v>
      </c>
    </row>
    <row r="46" spans="1:7">
      <c r="B46" s="6" t="s">
        <v>307</v>
      </c>
      <c r="C46" s="8">
        <v>-1.6540362971611251</v>
      </c>
      <c r="D46" s="8">
        <v>0.75207411194005414</v>
      </c>
      <c r="E46" s="8">
        <v>-0.22722805858926473</v>
      </c>
      <c r="F46" s="8">
        <v>0.20870995199289993</v>
      </c>
      <c r="G46" s="8">
        <v>-0.43659253657283092</v>
      </c>
    </row>
    <row r="47" spans="1:7">
      <c r="B47" s="6" t="s">
        <v>308</v>
      </c>
      <c r="C47" s="8">
        <v>1.0853643645622109</v>
      </c>
      <c r="D47" s="8">
        <v>-1.4901969723968598</v>
      </c>
      <c r="E47" s="8">
        <v>-0.26737869792586938</v>
      </c>
      <c r="F47" s="8">
        <v>-1.5794431495697303</v>
      </c>
      <c r="G47" s="8">
        <v>0.82520360201205034</v>
      </c>
    </row>
    <row r="48" spans="1:7">
      <c r="B48" s="6" t="s">
        <v>309</v>
      </c>
      <c r="C48" s="8">
        <v>-1.0964383969320209E-2</v>
      </c>
      <c r="D48" s="8">
        <v>-3.5328881502549696E-2</v>
      </c>
      <c r="E48" s="8">
        <v>-0.72063148808965505</v>
      </c>
      <c r="F48" s="8">
        <v>-5.6647809655947949E-2</v>
      </c>
      <c r="G48" s="8">
        <v>-0.57431598505176074</v>
      </c>
    </row>
    <row r="49" spans="2:7">
      <c r="B49" s="6" t="s">
        <v>310</v>
      </c>
      <c r="C49" s="8">
        <v>0.83300580709009064</v>
      </c>
      <c r="D49" s="8">
        <v>-0.20386784443051958</v>
      </c>
      <c r="E49" s="8">
        <v>-1.4228217328951636</v>
      </c>
      <c r="F49" s="8">
        <v>-8.844179421681081E-2</v>
      </c>
      <c r="G49" s="8">
        <v>-0.37922442613231666</v>
      </c>
    </row>
    <row r="50" spans="2:7">
      <c r="B50" s="6" t="s">
        <v>311</v>
      </c>
      <c r="C50" s="8">
        <v>1.4077530871255941</v>
      </c>
      <c r="D50" s="8">
        <v>-0.66610972811293212</v>
      </c>
      <c r="E50" s="8">
        <v>-1.1124422205891482</v>
      </c>
      <c r="F50" s="8">
        <v>-0.63690555162589446</v>
      </c>
      <c r="G50" s="8">
        <v>0.85520119786367155</v>
      </c>
    </row>
    <row r="51" spans="2:7">
      <c r="B51" s="6" t="s">
        <v>312</v>
      </c>
      <c r="C51" s="8">
        <v>-1.1709529380935291</v>
      </c>
      <c r="D51" s="8">
        <v>-0.76017952244265785</v>
      </c>
      <c r="E51" s="8">
        <v>0.45304860936182956</v>
      </c>
      <c r="F51" s="8">
        <v>-1.5232463035655963</v>
      </c>
      <c r="G51" s="8">
        <v>0.22395217225784908</v>
      </c>
    </row>
    <row r="52" spans="2:7">
      <c r="B52" s="6" t="s">
        <v>313</v>
      </c>
      <c r="C52" s="8">
        <v>0.10810470860307128</v>
      </c>
      <c r="D52" s="8">
        <v>0.37718053671072177</v>
      </c>
      <c r="E52" s="8">
        <v>0.20152101225481575</v>
      </c>
      <c r="F52" s="8">
        <v>-0.59910976672833216</v>
      </c>
      <c r="G52" s="8">
        <v>2.0604698669598474</v>
      </c>
    </row>
    <row r="53" spans="2:7">
      <c r="B53" s="6" t="s">
        <v>314</v>
      </c>
      <c r="C53" s="8">
        <v>0.2643676841159327</v>
      </c>
      <c r="D53" s="8">
        <v>1.0059071489219578</v>
      </c>
      <c r="E53" s="8">
        <v>0.31497187556744977</v>
      </c>
      <c r="F53" s="8">
        <v>-0.67091649905243689</v>
      </c>
      <c r="G53" s="8">
        <v>-0.66228349600223435</v>
      </c>
    </row>
    <row r="54" spans="2:7">
      <c r="B54" s="6" t="s">
        <v>315</v>
      </c>
      <c r="C54" s="8">
        <v>-0.80427990175339981</v>
      </c>
      <c r="D54" s="8">
        <v>-0.38826845589623238</v>
      </c>
      <c r="E54" s="8">
        <v>-1.2632145338386793</v>
      </c>
      <c r="F54" s="8">
        <v>1.3876064034562101</v>
      </c>
      <c r="G54" s="8">
        <v>1.0892158662232765</v>
      </c>
    </row>
    <row r="55" spans="2:7">
      <c r="B55" s="6" t="s">
        <v>316</v>
      </c>
      <c r="C55" s="8">
        <v>-2.1799871874315771E-2</v>
      </c>
      <c r="D55" s="8">
        <v>-0.97521740921018585</v>
      </c>
      <c r="E55" s="8">
        <v>2.2193204112195506</v>
      </c>
      <c r="F55" s="8">
        <v>1.7610635820505063</v>
      </c>
      <c r="G55" s="8">
        <v>-1.2053071121396979</v>
      </c>
    </row>
    <row r="56" spans="2:7">
      <c r="B56" s="6" t="s">
        <v>317</v>
      </c>
      <c r="C56" s="8">
        <v>0.50874724200416421</v>
      </c>
      <c r="D56" s="8">
        <v>-0.71729678113207962</v>
      </c>
      <c r="E56" s="8">
        <v>0.521369697519939</v>
      </c>
      <c r="F56" s="8">
        <v>0.60923090511084665</v>
      </c>
      <c r="G56" s="8">
        <v>-0.60706429973735221</v>
      </c>
    </row>
    <row r="57" spans="2:7">
      <c r="B57" s="6" t="s">
        <v>318</v>
      </c>
      <c r="C57" s="8">
        <v>-1.9079665204108147</v>
      </c>
      <c r="D57" s="8">
        <v>2.3671408724413889</v>
      </c>
      <c r="E57" s="8">
        <v>0.26387454939494659</v>
      </c>
      <c r="F57" s="8">
        <v>-1.1019610774894524</v>
      </c>
      <c r="G57" s="8">
        <v>1.507580774825465</v>
      </c>
    </row>
    <row r="58" spans="2:7">
      <c r="B58" s="6" t="s">
        <v>319</v>
      </c>
      <c r="C58" s="8">
        <v>1.2102529179378276</v>
      </c>
      <c r="D58" s="8">
        <v>1.3359012680007063</v>
      </c>
      <c r="E58" s="8">
        <v>-0.54367371913816642</v>
      </c>
      <c r="F58" s="8">
        <v>0.96067159069819452</v>
      </c>
      <c r="G58" s="8">
        <v>0.74715644678633086</v>
      </c>
    </row>
    <row r="59" spans="2:7">
      <c r="B59" s="6" t="s">
        <v>320</v>
      </c>
      <c r="C59" s="8">
        <v>-2.2293979275270881</v>
      </c>
      <c r="D59" s="8">
        <v>-0.19532527777470754</v>
      </c>
      <c r="E59" s="8">
        <v>1.6734823363323483</v>
      </c>
      <c r="F59" s="8">
        <v>-0.7495123897508067</v>
      </c>
      <c r="G59" s="8">
        <v>0.56114751952510922</v>
      </c>
    </row>
    <row r="60" spans="2:7">
      <c r="B60" s="6" t="s">
        <v>321</v>
      </c>
      <c r="C60" s="8">
        <v>-0.18695626803624299</v>
      </c>
      <c r="D60" s="8">
        <v>0.15962549265263423</v>
      </c>
      <c r="E60" s="8">
        <v>1.0197082392264147</v>
      </c>
      <c r="F60" s="8">
        <v>-1.0968862597232001</v>
      </c>
      <c r="G60" s="8">
        <v>-1.0233037935192961</v>
      </c>
    </row>
    <row r="61" spans="2:7">
      <c r="B61" s="6" t="s">
        <v>322</v>
      </c>
      <c r="C61" s="8">
        <v>0.13107566120020839</v>
      </c>
      <c r="D61" s="8">
        <v>0.38222324370419231</v>
      </c>
      <c r="E61" s="8">
        <v>-1.7035684779926072</v>
      </c>
      <c r="F61" s="8">
        <v>-0.66944029685958484</v>
      </c>
      <c r="G61" s="8">
        <v>0.86607680061471781</v>
      </c>
    </row>
    <row r="62" spans="2:7">
      <c r="B62" s="6" t="s">
        <v>323</v>
      </c>
      <c r="C62" s="8">
        <v>-0.62091545079350596</v>
      </c>
      <c r="D62" s="8">
        <v>2.1405618185814754</v>
      </c>
      <c r="E62" s="8">
        <v>0.50330614644812255</v>
      </c>
      <c r="F62" s="8">
        <v>-0.5940927800682495</v>
      </c>
      <c r="G62" s="8">
        <v>1.8785256407334932</v>
      </c>
    </row>
    <row r="63" spans="2:7">
      <c r="B63" s="6" t="s">
        <v>324</v>
      </c>
      <c r="C63" s="8">
        <v>-0.56065255939891068</v>
      </c>
      <c r="D63" s="8">
        <v>0.27282768066356095</v>
      </c>
      <c r="E63" s="8">
        <v>0.95098087583199331</v>
      </c>
      <c r="F63" s="8">
        <v>-1.1381441271343307</v>
      </c>
      <c r="G63" s="8">
        <v>1.7258436309068224</v>
      </c>
    </row>
    <row r="64" spans="2:7">
      <c r="B64" s="6" t="s">
        <v>325</v>
      </c>
      <c r="C64" s="8">
        <v>-0.40737547094044874</v>
      </c>
      <c r="D64" s="8">
        <v>-0.59135026117594069</v>
      </c>
      <c r="E64" s="8">
        <v>-0.88223742502648783</v>
      </c>
      <c r="F64" s="8">
        <v>1.3331739963422156</v>
      </c>
      <c r="G64" s="8">
        <v>0.78838074438199202</v>
      </c>
    </row>
    <row r="66" spans="1:12">
      <c r="B66" s="6" t="s">
        <v>328</v>
      </c>
      <c r="C66" s="8">
        <f>AVERAGE(C35:C64)</f>
        <v>-0.11245335811971674</v>
      </c>
      <c r="D66" s="8">
        <f>AVERAGE(D35:D64)</f>
        <v>5.1683101677871528E-3</v>
      </c>
      <c r="E66" s="8">
        <f>AVERAGE(E35:E64)</f>
        <v>-6.7133701903967615E-3</v>
      </c>
      <c r="F66" s="8">
        <f>AVERAGE(F35:F64)</f>
        <v>-0.10075334279112361</v>
      </c>
      <c r="G66" s="8">
        <f>AVERAGE(G35:G64)</f>
        <v>0.10827784154458887</v>
      </c>
    </row>
    <row r="67" spans="1:12">
      <c r="B67" s="6" t="s">
        <v>329</v>
      </c>
      <c r="C67" s="8">
        <f>_xlfn.STDEV.P(C35:C64)</f>
        <v>1.0488757544261746</v>
      </c>
      <c r="D67" s="8">
        <f>_xlfn.STDEV.P(D35:D64)</f>
        <v>0.94829794768162656</v>
      </c>
      <c r="E67" s="8">
        <f>_xlfn.STDEV.P(E35:E64)</f>
        <v>1.11711620645748</v>
      </c>
      <c r="F67" s="8">
        <f>_xlfn.STDEV.P(F35:F64)</f>
        <v>0.9106089282671419</v>
      </c>
      <c r="G67" s="8">
        <f>_xlfn.STDEV.P(G35:G64)</f>
        <v>1.0206480225207966</v>
      </c>
    </row>
    <row r="71" spans="1:12">
      <c r="A71" s="17" t="s">
        <v>330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6" t="s">
        <v>6</v>
      </c>
      <c r="C74" s="109" t="s">
        <v>331</v>
      </c>
      <c r="D74" s="2"/>
      <c r="E74" s="2"/>
      <c r="F74" s="2"/>
      <c r="G74" s="2"/>
      <c r="H74" s="2"/>
      <c r="I74" s="21"/>
      <c r="J74" s="21"/>
      <c r="K74" s="21"/>
      <c r="L74" s="21"/>
    </row>
    <row r="75" spans="1:12">
      <c r="A75" s="21"/>
      <c r="B75" s="21"/>
      <c r="C75" s="2"/>
      <c r="D75" s="2"/>
      <c r="E75" s="2"/>
      <c r="F75" s="2"/>
      <c r="G75" s="2"/>
      <c r="H75" s="2"/>
      <c r="I75" s="21"/>
      <c r="J75" s="21"/>
      <c r="K75" s="21"/>
      <c r="L75" s="21"/>
    </row>
    <row r="76" spans="1:12">
      <c r="A76" s="21"/>
      <c r="B76" s="21"/>
      <c r="C76" s="2"/>
      <c r="D76" s="2"/>
      <c r="E76" s="2"/>
      <c r="F76" s="2"/>
      <c r="G76" s="2"/>
      <c r="H76" s="2"/>
      <c r="I76" s="21"/>
      <c r="J76" s="21"/>
      <c r="K76" s="21"/>
      <c r="L76" s="21"/>
    </row>
    <row r="77" spans="1:12">
      <c r="C77" s="2"/>
      <c r="D77" s="2"/>
      <c r="E77" s="2"/>
      <c r="F77" s="2"/>
      <c r="G77" s="2"/>
      <c r="H77" s="2"/>
    </row>
    <row r="79" spans="1:12">
      <c r="B79" s="106"/>
      <c r="C79" s="6" t="s">
        <v>291</v>
      </c>
      <c r="D79" s="6" t="s">
        <v>292</v>
      </c>
      <c r="E79" s="6" t="s">
        <v>293</v>
      </c>
      <c r="F79" s="6" t="s">
        <v>294</v>
      </c>
      <c r="G79" s="6" t="s">
        <v>295</v>
      </c>
    </row>
    <row r="80" spans="1:12">
      <c r="B80" s="6" t="s">
        <v>296</v>
      </c>
      <c r="C80" s="8">
        <f t="shared" ref="C80:G89" si="0">(C35-C$66)/C$67</f>
        <v>6.9790886311265496E-2</v>
      </c>
      <c r="D80" s="8">
        <f t="shared" si="0"/>
        <v>0.68504318997945512</v>
      </c>
      <c r="E80" s="8">
        <f t="shared" si="0"/>
        <v>-0.20961218618310423</v>
      </c>
      <c r="F80" s="8">
        <f t="shared" si="0"/>
        <v>-0.38834459807794436</v>
      </c>
      <c r="G80" s="8">
        <f t="shared" si="0"/>
        <v>5.2825977598577455E-2</v>
      </c>
    </row>
    <row r="81" spans="2:7">
      <c r="B81" s="6" t="s">
        <v>297</v>
      </c>
      <c r="C81" s="8">
        <f t="shared" si="0"/>
        <v>0.16111098733087081</v>
      </c>
      <c r="D81" s="8">
        <f t="shared" si="0"/>
        <v>-0.2714328386779209</v>
      </c>
      <c r="E81" s="8">
        <f t="shared" si="0"/>
        <v>-0.23465466481880187</v>
      </c>
      <c r="F81" s="8">
        <f t="shared" si="0"/>
        <v>-1.612215932923672</v>
      </c>
      <c r="G81" s="8">
        <f t="shared" si="0"/>
        <v>-1.7436470344023596</v>
      </c>
    </row>
    <row r="82" spans="2:7">
      <c r="B82" s="6" t="s">
        <v>298</v>
      </c>
      <c r="C82" s="8">
        <f t="shared" si="0"/>
        <v>0.91351287068958165</v>
      </c>
      <c r="D82" s="8">
        <f t="shared" si="0"/>
        <v>-7.8086220099312514E-2</v>
      </c>
      <c r="E82" s="8">
        <f t="shared" si="0"/>
        <v>-2.2973219199604489</v>
      </c>
      <c r="F82" s="8">
        <f t="shared" si="0"/>
        <v>0.44350379893732222</v>
      </c>
      <c r="G82" s="8">
        <f t="shared" si="0"/>
        <v>-1.607161589377448</v>
      </c>
    </row>
    <row r="83" spans="2:7">
      <c r="B83" s="6" t="s">
        <v>299</v>
      </c>
      <c r="C83" s="8">
        <f t="shared" si="0"/>
        <v>-0.3854859271084129</v>
      </c>
      <c r="D83" s="8">
        <f t="shared" si="0"/>
        <v>-0.29421408498192064</v>
      </c>
      <c r="E83" s="8">
        <f t="shared" si="0"/>
        <v>-0.66705949960988198</v>
      </c>
      <c r="F83" s="8">
        <f t="shared" si="0"/>
        <v>1.8517250365686415</v>
      </c>
      <c r="G83" s="8">
        <f t="shared" si="0"/>
        <v>-0.60817936367559056</v>
      </c>
    </row>
    <row r="84" spans="2:7">
      <c r="B84" s="6" t="s">
        <v>300</v>
      </c>
      <c r="C84" s="8">
        <f t="shared" si="0"/>
        <v>0.39158475965442385</v>
      </c>
      <c r="D84" s="8">
        <f t="shared" si="0"/>
        <v>-0.50806003690918078</v>
      </c>
      <c r="E84" s="8">
        <f t="shared" si="0"/>
        <v>-0.89752629571554454</v>
      </c>
      <c r="F84" s="8">
        <f t="shared" si="0"/>
        <v>0.39843692953612753</v>
      </c>
      <c r="G84" s="8">
        <f t="shared" si="0"/>
        <v>0.31863097648963207</v>
      </c>
    </row>
    <row r="85" spans="2:7">
      <c r="B85" s="6" t="s">
        <v>301</v>
      </c>
      <c r="C85" s="8">
        <f t="shared" si="0"/>
        <v>-0.5080132010664814</v>
      </c>
      <c r="D85" s="8">
        <f t="shared" si="0"/>
        <v>0.92734913777573857</v>
      </c>
      <c r="E85" s="8">
        <f t="shared" si="0"/>
        <v>3.9558596166406499E-3</v>
      </c>
      <c r="F85" s="8">
        <f t="shared" si="0"/>
        <v>0.59906323639593484</v>
      </c>
      <c r="G85" s="8">
        <f t="shared" si="0"/>
        <v>-0.54552183400402621</v>
      </c>
    </row>
    <row r="86" spans="2:7">
      <c r="B86" s="6" t="s">
        <v>302</v>
      </c>
      <c r="C86" s="8">
        <f t="shared" si="0"/>
        <v>1.9192998601806437</v>
      </c>
      <c r="D86" s="8">
        <f t="shared" si="0"/>
        <v>-1.6922243000443655</v>
      </c>
      <c r="E86" s="8">
        <f t="shared" si="0"/>
        <v>1.1382123043497083</v>
      </c>
      <c r="F86" s="8">
        <f t="shared" si="0"/>
        <v>0.26720802716193015</v>
      </c>
      <c r="G86" s="8">
        <f t="shared" si="0"/>
        <v>-0.87683486912997677</v>
      </c>
    </row>
    <row r="87" spans="2:7">
      <c r="B87" s="6" t="s">
        <v>303</v>
      </c>
      <c r="C87" s="8">
        <f t="shared" si="0"/>
        <v>1.1951634201537185</v>
      </c>
      <c r="D87" s="8">
        <f t="shared" si="0"/>
        <v>0.98043641682674276</v>
      </c>
      <c r="E87" s="8">
        <f t="shared" si="0"/>
        <v>-0.30447087115560273</v>
      </c>
      <c r="F87" s="8">
        <f t="shared" si="0"/>
        <v>0.56600132879465781</v>
      </c>
      <c r="G87" s="8">
        <f t="shared" si="0"/>
        <v>5.6525580481883497E-2</v>
      </c>
    </row>
    <row r="88" spans="2:7">
      <c r="B88" s="6" t="s">
        <v>304</v>
      </c>
      <c r="C88" s="8">
        <f t="shared" si="0"/>
        <v>-0.57444104946880625</v>
      </c>
      <c r="D88" s="8">
        <f t="shared" si="0"/>
        <v>-0.10998237410074498</v>
      </c>
      <c r="E88" s="8">
        <f t="shared" si="0"/>
        <v>-4.8726436515375761E-2</v>
      </c>
      <c r="F88" s="8">
        <f t="shared" si="0"/>
        <v>0.40845931013853709</v>
      </c>
      <c r="G88" s="8">
        <f t="shared" si="0"/>
        <v>-1.0716509932346114</v>
      </c>
    </row>
    <row r="89" spans="2:7">
      <c r="B89" s="6" t="s">
        <v>305</v>
      </c>
      <c r="C89" s="8">
        <f t="shared" si="0"/>
        <v>-2.2163620713042134</v>
      </c>
      <c r="D89" s="8">
        <f t="shared" si="0"/>
        <v>-1.0788787228841328</v>
      </c>
      <c r="E89" s="8">
        <f t="shared" si="0"/>
        <v>1.5884751343770749</v>
      </c>
      <c r="F89" s="8">
        <f t="shared" si="0"/>
        <v>-0.23447025551517128</v>
      </c>
      <c r="G89" s="8">
        <f t="shared" si="0"/>
        <v>1.0248066443249624</v>
      </c>
    </row>
    <row r="90" spans="2:7">
      <c r="B90" s="6" t="s">
        <v>306</v>
      </c>
      <c r="C90" s="8">
        <f t="shared" ref="C90:G99" si="1">(C45-C$66)/C$67</f>
        <v>0.83578054780077682</v>
      </c>
      <c r="D90" s="8">
        <f t="shared" si="1"/>
        <v>-1.377738766856295</v>
      </c>
      <c r="E90" s="8">
        <f t="shared" si="1"/>
        <v>1.8338938287219395</v>
      </c>
      <c r="F90" s="8">
        <f t="shared" si="1"/>
        <v>0.2593361916539435</v>
      </c>
      <c r="G90" s="8">
        <f t="shared" si="1"/>
        <v>-1.0580853725355452</v>
      </c>
    </row>
    <row r="91" spans="2:7">
      <c r="B91" s="6" t="s">
        <v>307</v>
      </c>
      <c r="C91" s="8">
        <f t="shared" si="1"/>
        <v>-1.4697479015374773</v>
      </c>
      <c r="D91" s="8">
        <f t="shared" si="1"/>
        <v>0.78762777415925267</v>
      </c>
      <c r="E91" s="8">
        <f t="shared" si="1"/>
        <v>-0.19739637391722081</v>
      </c>
      <c r="F91" s="8">
        <f t="shared" si="1"/>
        <v>0.33984214867398871</v>
      </c>
      <c r="G91" s="8">
        <f t="shared" si="1"/>
        <v>-0.53384748326038867</v>
      </c>
    </row>
    <row r="92" spans="2:7">
      <c r="B92" s="6" t="s">
        <v>308</v>
      </c>
      <c r="C92" s="8">
        <f t="shared" si="1"/>
        <v>1.1420015360515574</v>
      </c>
      <c r="D92" s="8">
        <f t="shared" si="1"/>
        <v>-1.5768939353084923</v>
      </c>
      <c r="E92" s="8">
        <f t="shared" si="1"/>
        <v>-0.23333770133196446</v>
      </c>
      <c r="F92" s="8">
        <f t="shared" si="1"/>
        <v>-1.6238472530601074</v>
      </c>
      <c r="G92" s="8">
        <f t="shared" si="1"/>
        <v>0.70242213245737561</v>
      </c>
    </row>
    <row r="93" spans="2:7">
      <c r="B93" s="6" t="s">
        <v>309</v>
      </c>
      <c r="C93" s="8">
        <f t="shared" si="1"/>
        <v>9.6759767514999664E-2</v>
      </c>
      <c r="D93" s="8">
        <f t="shared" si="1"/>
        <v>-4.2705134783158925E-2</v>
      </c>
      <c r="E93" s="8">
        <f t="shared" si="1"/>
        <v>-0.63907238456703175</v>
      </c>
      <c r="F93" s="8">
        <f t="shared" si="1"/>
        <v>4.8435208316161583E-2</v>
      </c>
      <c r="G93" s="8">
        <f t="shared" si="1"/>
        <v>-0.66878474413782663</v>
      </c>
    </row>
    <row r="94" spans="2:7">
      <c r="B94" s="6" t="s">
        <v>310</v>
      </c>
      <c r="C94" s="8">
        <f t="shared" si="1"/>
        <v>0.90140244087065868</v>
      </c>
      <c r="D94" s="8">
        <f t="shared" si="1"/>
        <v>-0.22043299272064518</v>
      </c>
      <c r="E94" s="8">
        <f t="shared" si="1"/>
        <v>-1.2676464225646047</v>
      </c>
      <c r="F94" s="8">
        <f t="shared" si="1"/>
        <v>1.3520127238090296E-2</v>
      </c>
      <c r="G94" s="8">
        <f t="shared" si="1"/>
        <v>-0.47763994728846126</v>
      </c>
    </row>
    <row r="95" spans="2:7">
      <c r="B95" s="6" t="s">
        <v>311</v>
      </c>
      <c r="C95" s="8">
        <f t="shared" si="1"/>
        <v>1.4493675145317804</v>
      </c>
      <c r="D95" s="8">
        <f t="shared" si="1"/>
        <v>-0.70787671735644042</v>
      </c>
      <c r="E95" s="8">
        <f t="shared" si="1"/>
        <v>-0.98980647134747124</v>
      </c>
      <c r="F95" s="8">
        <f t="shared" si="1"/>
        <v>-0.58878426533226558</v>
      </c>
      <c r="G95" s="8">
        <f t="shared" si="1"/>
        <v>0.73181286774487775</v>
      </c>
    </row>
    <row r="96" spans="2:7">
      <c r="B96" s="6" t="s">
        <v>312</v>
      </c>
      <c r="C96" s="8">
        <f t="shared" si="1"/>
        <v>-1.0091753723041323</v>
      </c>
      <c r="D96" s="8">
        <f t="shared" si="1"/>
        <v>-0.80707528101431303</v>
      </c>
      <c r="E96" s="8">
        <f t="shared" si="1"/>
        <v>0.41156146235689395</v>
      </c>
      <c r="F96" s="8">
        <f t="shared" si="1"/>
        <v>-1.5621337729264624</v>
      </c>
      <c r="G96" s="8">
        <f t="shared" si="1"/>
        <v>0.11333420352646913</v>
      </c>
    </row>
    <row r="97" spans="2:7">
      <c r="B97" s="6" t="s">
        <v>313</v>
      </c>
      <c r="C97" s="8">
        <f t="shared" si="1"/>
        <v>0.21028045103726539</v>
      </c>
      <c r="D97" s="8">
        <f t="shared" si="1"/>
        <v>0.39229466588261652</v>
      </c>
      <c r="E97" s="8">
        <f t="shared" si="1"/>
        <v>0.18640351043294831</v>
      </c>
      <c r="F97" s="8">
        <f t="shared" si="1"/>
        <v>-0.54727820963227769</v>
      </c>
      <c r="G97" s="8">
        <f t="shared" si="1"/>
        <v>1.91269858201825</v>
      </c>
    </row>
    <row r="98" spans="2:7">
      <c r="B98" s="6" t="s">
        <v>314</v>
      </c>
      <c r="C98" s="8">
        <f t="shared" si="1"/>
        <v>0.35926184836048858</v>
      </c>
      <c r="D98" s="8">
        <f t="shared" si="1"/>
        <v>1.0553000153598879</v>
      </c>
      <c r="E98" s="8">
        <f t="shared" si="1"/>
        <v>0.28796041441199033</v>
      </c>
      <c r="F98" s="8">
        <f t="shared" si="1"/>
        <v>-0.62613394022647528</v>
      </c>
      <c r="G98" s="8">
        <f t="shared" si="1"/>
        <v>-0.75497264536278708</v>
      </c>
    </row>
    <row r="99" spans="2:7">
      <c r="B99" s="6" t="s">
        <v>315</v>
      </c>
      <c r="C99" s="8">
        <f t="shared" si="1"/>
        <v>-0.65958865071885631</v>
      </c>
      <c r="D99" s="8">
        <f t="shared" si="1"/>
        <v>-0.41488729046169842</v>
      </c>
      <c r="E99" s="8">
        <f t="shared" si="1"/>
        <v>-1.1247721198431184</v>
      </c>
      <c r="F99" s="8">
        <f t="shared" si="1"/>
        <v>1.6344664543094609</v>
      </c>
      <c r="G99" s="8">
        <f t="shared" si="1"/>
        <v>0.96109334759299958</v>
      </c>
    </row>
    <row r="100" spans="2:7">
      <c r="B100" s="6" t="s">
        <v>316</v>
      </c>
      <c r="C100" s="8">
        <f t="shared" ref="C100:G109" si="2">(C55-C$66)/C$67</f>
        <v>8.6429194175621143E-2</v>
      </c>
      <c r="D100" s="8">
        <f t="shared" si="2"/>
        <v>-1.0338372257103305</v>
      </c>
      <c r="E100" s="8">
        <f t="shared" si="2"/>
        <v>1.9926608964603501</v>
      </c>
      <c r="F100" s="8">
        <f t="shared" si="2"/>
        <v>2.0445845269545124</v>
      </c>
      <c r="G100" s="8">
        <f t="shared" si="2"/>
        <v>-1.2870107272044622</v>
      </c>
    </row>
    <row r="101" spans="2:7">
      <c r="B101" s="6" t="s">
        <v>317</v>
      </c>
      <c r="C101" s="8">
        <f t="shared" si="2"/>
        <v>0.59225375122121227</v>
      </c>
      <c r="D101" s="8">
        <f t="shared" si="2"/>
        <v>-0.76185453429075756</v>
      </c>
      <c r="E101" s="8">
        <f t="shared" si="2"/>
        <v>0.47271990564433353</v>
      </c>
      <c r="F101" s="8">
        <f t="shared" si="2"/>
        <v>0.77968074533712983</v>
      </c>
      <c r="G101" s="8">
        <f t="shared" si="2"/>
        <v>-0.70087055037366264</v>
      </c>
    </row>
    <row r="102" spans="2:7">
      <c r="B102" s="6" t="s">
        <v>318</v>
      </c>
      <c r="C102" s="8">
        <f t="shared" si="2"/>
        <v>-1.7118454256513902</v>
      </c>
      <c r="D102" s="8">
        <f t="shared" si="2"/>
        <v>2.4907494190492439</v>
      </c>
      <c r="E102" s="8">
        <f t="shared" si="2"/>
        <v>0.24222002869639914</v>
      </c>
      <c r="F102" s="8">
        <f t="shared" si="2"/>
        <v>-1.0994925523117738</v>
      </c>
      <c r="G102" s="8">
        <f t="shared" si="2"/>
        <v>1.3709946057847422</v>
      </c>
    </row>
    <row r="103" spans="2:7">
      <c r="B103" s="6" t="s">
        <v>319</v>
      </c>
      <c r="C103" s="8">
        <f t="shared" si="2"/>
        <v>1.2610705037997361</v>
      </c>
      <c r="D103" s="8">
        <f t="shared" si="2"/>
        <v>1.4032857089760233</v>
      </c>
      <c r="E103" s="8">
        <f t="shared" si="2"/>
        <v>-0.48066651064936244</v>
      </c>
      <c r="F103" s="8">
        <f t="shared" si="2"/>
        <v>1.1656210482244822</v>
      </c>
      <c r="G103" s="8">
        <f t="shared" si="2"/>
        <v>0.62595389511835786</v>
      </c>
    </row>
    <row r="104" spans="2:7">
      <c r="B104" s="6" t="s">
        <v>320</v>
      </c>
      <c r="C104" s="8">
        <f t="shared" si="2"/>
        <v>-2.0182986978906019</v>
      </c>
      <c r="D104" s="8">
        <f t="shared" si="2"/>
        <v>-0.21142467768980841</v>
      </c>
      <c r="E104" s="8">
        <f t="shared" si="2"/>
        <v>1.5040473827256191</v>
      </c>
      <c r="F104" s="8">
        <f t="shared" si="2"/>
        <v>-0.71244529547305202</v>
      </c>
      <c r="G104" s="8">
        <f t="shared" si="2"/>
        <v>0.44370798550319313</v>
      </c>
    </row>
    <row r="105" spans="2:7">
      <c r="B105" s="6" t="s">
        <v>321</v>
      </c>
      <c r="C105" s="8">
        <f t="shared" si="2"/>
        <v>-7.1031206129162319E-2</v>
      </c>
      <c r="D105" s="8">
        <f t="shared" si="2"/>
        <v>0.16287832622907164</v>
      </c>
      <c r="E105" s="8">
        <f t="shared" si="2"/>
        <v>0.91881364130570375</v>
      </c>
      <c r="F105" s="8">
        <f t="shared" si="2"/>
        <v>-1.0939195586712331</v>
      </c>
      <c r="G105" s="8">
        <f t="shared" si="2"/>
        <v>-1.1086893915388232</v>
      </c>
    </row>
    <row r="106" spans="2:7">
      <c r="B106" s="6" t="s">
        <v>322</v>
      </c>
      <c r="C106" s="8">
        <f t="shared" si="2"/>
        <v>0.23218099788487959</v>
      </c>
      <c r="D106" s="8">
        <f t="shared" si="2"/>
        <v>0.39761230577185047</v>
      </c>
      <c r="E106" s="8">
        <f t="shared" si="2"/>
        <v>-1.5189602460277232</v>
      </c>
      <c r="F106" s="8">
        <f t="shared" si="2"/>
        <v>-0.62451282478709425</v>
      </c>
      <c r="G106" s="8">
        <f t="shared" si="2"/>
        <v>0.74246845371680337</v>
      </c>
    </row>
    <row r="107" spans="2:7">
      <c r="B107" s="6" t="s">
        <v>323</v>
      </c>
      <c r="C107" s="8">
        <f t="shared" si="2"/>
        <v>-0.48476865875497505</v>
      </c>
      <c r="D107" s="8">
        <f t="shared" si="2"/>
        <v>2.2518170725078979</v>
      </c>
      <c r="E107" s="8">
        <f t="shared" si="2"/>
        <v>0.45655010077765962</v>
      </c>
      <c r="F107" s="8">
        <f t="shared" si="2"/>
        <v>-0.54176872416124255</v>
      </c>
      <c r="G107" s="8">
        <f t="shared" si="2"/>
        <v>1.7344351432894036</v>
      </c>
    </row>
    <row r="108" spans="2:7">
      <c r="B108" s="6" t="s">
        <v>324</v>
      </c>
      <c r="C108" s="8">
        <f t="shared" si="2"/>
        <v>-0.42731391147886483</v>
      </c>
      <c r="D108" s="8">
        <f t="shared" si="2"/>
        <v>0.28225239878472824</v>
      </c>
      <c r="E108" s="8">
        <f t="shared" si="2"/>
        <v>0.85729151585703189</v>
      </c>
      <c r="F108" s="8">
        <f t="shared" si="2"/>
        <v>-1.1392275565728602</v>
      </c>
      <c r="G108" s="8">
        <f t="shared" si="2"/>
        <v>1.5848419373479699</v>
      </c>
    </row>
    <row r="109" spans="2:7">
      <c r="B109" s="6" t="s">
        <v>325</v>
      </c>
      <c r="C109" s="8">
        <f t="shared" si="2"/>
        <v>-0.28117926415610567</v>
      </c>
      <c r="D109" s="8">
        <f t="shared" si="2"/>
        <v>-0.62904129741299186</v>
      </c>
      <c r="E109" s="8">
        <f t="shared" si="2"/>
        <v>-0.78373588152703566</v>
      </c>
      <c r="F109" s="8">
        <f t="shared" si="2"/>
        <v>1.5746906214307106</v>
      </c>
      <c r="G109" s="8">
        <f t="shared" si="2"/>
        <v>0.66634421253047149</v>
      </c>
    </row>
    <row r="111" spans="2:7">
      <c r="B111" s="6" t="s">
        <v>328</v>
      </c>
      <c r="C111" s="124">
        <f>AVERAGE(C80:C109)</f>
        <v>0</v>
      </c>
      <c r="D111" s="124">
        <f>AVERAGE(D80:D109)</f>
        <v>0</v>
      </c>
      <c r="E111" s="124">
        <f>AVERAGE(E80:E109)</f>
        <v>2.9605947323337507E-17</v>
      </c>
      <c r="F111" s="124">
        <f>AVERAGE(F80:F109)</f>
        <v>0</v>
      </c>
      <c r="G111" s="124">
        <f>AVERAGE(G80:G109)</f>
        <v>7.4014868308343765E-17</v>
      </c>
    </row>
    <row r="112" spans="2:7">
      <c r="B112" s="6" t="s">
        <v>329</v>
      </c>
      <c r="C112" s="124">
        <f>_xlfn.STDEV.P(C80:C109)</f>
        <v>1</v>
      </c>
      <c r="D112" s="124">
        <f>_xlfn.STDEV.P(D80:D109)</f>
        <v>1</v>
      </c>
      <c r="E112" s="124">
        <f>_xlfn.STDEV.P(E80:E109)</f>
        <v>1</v>
      </c>
      <c r="F112" s="124">
        <f>_xlfn.STDEV.P(F80:F109)</f>
        <v>1</v>
      </c>
      <c r="G112" s="124">
        <f>_xlfn.STDEV.P(G80:G109)</f>
        <v>1</v>
      </c>
    </row>
    <row r="116" spans="1:12">
      <c r="A116" s="17" t="s">
        <v>332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8" spans="1:12">
      <c r="B118" s="9"/>
    </row>
    <row r="119" spans="1:12">
      <c r="B119" s="6" t="s">
        <v>6</v>
      </c>
      <c r="C119" s="2" t="s">
        <v>380</v>
      </c>
      <c r="D119" s="2"/>
      <c r="E119" s="2"/>
      <c r="F119" s="2"/>
      <c r="G119" s="2"/>
      <c r="H119" s="2"/>
    </row>
    <row r="120" spans="1:12">
      <c r="C120" s="2"/>
      <c r="D120" s="2"/>
      <c r="E120" s="2"/>
      <c r="F120" s="2"/>
      <c r="G120" s="2"/>
      <c r="H120" s="2"/>
    </row>
    <row r="122" spans="1:12">
      <c r="C122" s="6" t="s">
        <v>291</v>
      </c>
      <c r="D122" s="6" t="s">
        <v>292</v>
      </c>
      <c r="E122" s="6" t="s">
        <v>293</v>
      </c>
      <c r="F122" s="6" t="s">
        <v>294</v>
      </c>
      <c r="G122" s="6" t="s">
        <v>295</v>
      </c>
    </row>
    <row r="123" spans="1:12">
      <c r="B123" s="6" t="s">
        <v>291</v>
      </c>
      <c r="C123" s="8">
        <f t="array" ref="C123:G127">MMULT(TRANSPOSE(C80:G109),C80:G109)/B109</f>
        <v>0.99999999999999989</v>
      </c>
      <c r="D123" s="8">
        <v>-0.25323929033246517</v>
      </c>
      <c r="E123" s="8">
        <v>-0.29741027725379171</v>
      </c>
      <c r="F123" s="8">
        <v>0.11943664723801084</v>
      </c>
      <c r="G123" s="8">
        <v>-0.27210913843436912</v>
      </c>
    </row>
    <row r="124" spans="1:12">
      <c r="B124" s="6" t="s">
        <v>292</v>
      </c>
      <c r="C124" s="8">
        <v>-0.25323929033246517</v>
      </c>
      <c r="D124" s="8">
        <v>1</v>
      </c>
      <c r="E124" s="8">
        <v>-0.18245262095504924</v>
      </c>
      <c r="F124" s="8">
        <v>-0.125752531705592</v>
      </c>
      <c r="G124" s="8">
        <v>0.32729251774968621</v>
      </c>
    </row>
    <row r="125" spans="1:12">
      <c r="B125" s="6" t="s">
        <v>293</v>
      </c>
      <c r="C125" s="8">
        <v>-0.29741027725379171</v>
      </c>
      <c r="D125" s="8">
        <v>-0.18245262095504924</v>
      </c>
      <c r="E125" s="8">
        <v>1</v>
      </c>
      <c r="F125" s="8">
        <v>-0.1273906749083486</v>
      </c>
      <c r="G125" s="8">
        <v>-1.4282497413060575E-2</v>
      </c>
    </row>
    <row r="126" spans="1:12">
      <c r="B126" s="6" t="s">
        <v>294</v>
      </c>
      <c r="C126" s="8">
        <v>0.11943664723801084</v>
      </c>
      <c r="D126" s="8">
        <v>-0.125752531705592</v>
      </c>
      <c r="E126" s="8">
        <v>-0.1273906749083486</v>
      </c>
      <c r="F126" s="8">
        <v>1.0000000000000002</v>
      </c>
      <c r="G126" s="8">
        <v>-0.21978014003048102</v>
      </c>
    </row>
    <row r="127" spans="1:12">
      <c r="B127" s="6" t="s">
        <v>295</v>
      </c>
      <c r="C127" s="8">
        <v>-0.27210913843436912</v>
      </c>
      <c r="D127" s="8">
        <v>0.32729251774968621</v>
      </c>
      <c r="E127" s="8">
        <v>-1.4282497413060575E-2</v>
      </c>
      <c r="F127" s="8">
        <v>-0.21978014003048102</v>
      </c>
      <c r="G127" s="8">
        <v>1.0000000000000002</v>
      </c>
    </row>
    <row r="130" spans="2:8">
      <c r="B130" s="6" t="s">
        <v>6</v>
      </c>
      <c r="C130" s="109" t="s">
        <v>334</v>
      </c>
      <c r="D130" s="2"/>
      <c r="E130" s="2"/>
      <c r="F130" s="2"/>
      <c r="G130" s="2"/>
      <c r="H130" s="2"/>
    </row>
    <row r="131" spans="2:8">
      <c r="C131" s="109" t="s">
        <v>335</v>
      </c>
      <c r="D131" s="2"/>
      <c r="E131" s="2"/>
      <c r="F131" s="2"/>
      <c r="G131" s="2"/>
      <c r="H131" s="2"/>
    </row>
    <row r="132" spans="2:8">
      <c r="C132" s="109" t="s">
        <v>336</v>
      </c>
      <c r="D132" s="2"/>
      <c r="E132" s="2"/>
      <c r="F132" s="2"/>
      <c r="G132" s="2"/>
      <c r="H132" s="2"/>
    </row>
    <row r="133" spans="2:8">
      <c r="C133" s="109" t="s">
        <v>378</v>
      </c>
      <c r="D133" s="2"/>
      <c r="E133" s="2"/>
      <c r="F133" s="2"/>
      <c r="G133" s="2"/>
      <c r="H133" s="2"/>
    </row>
    <row r="134" spans="2:8">
      <c r="C134" s="109" t="s">
        <v>379</v>
      </c>
      <c r="D134" s="2"/>
      <c r="E134" s="2"/>
      <c r="F134" s="2"/>
      <c r="G134" s="2"/>
      <c r="H134" s="2"/>
    </row>
    <row r="135" spans="2:8">
      <c r="C135" s="109" t="s">
        <v>337</v>
      </c>
      <c r="D135" s="2"/>
      <c r="E135" s="2"/>
      <c r="F135" s="2"/>
      <c r="G135" s="2"/>
      <c r="H135" s="2"/>
    </row>
    <row r="136" spans="2:8">
      <c r="C136" s="2"/>
      <c r="D136" s="2"/>
      <c r="E136" s="2"/>
      <c r="F136" s="2"/>
      <c r="G136" s="2"/>
      <c r="H136" s="2"/>
    </row>
    <row r="138" spans="2:8">
      <c r="B138" s="241" t="s">
        <v>338</v>
      </c>
      <c r="C138" s="241" t="s">
        <v>381</v>
      </c>
      <c r="D138" s="241"/>
      <c r="E138" s="241"/>
      <c r="F138" s="241"/>
      <c r="G138" s="241"/>
    </row>
    <row r="139" spans="2:8">
      <c r="B139" s="241"/>
      <c r="C139" s="6" t="s">
        <v>291</v>
      </c>
      <c r="D139" s="6" t="s">
        <v>292</v>
      </c>
      <c r="E139" s="6" t="s">
        <v>293</v>
      </c>
      <c r="F139" s="6" t="s">
        <v>294</v>
      </c>
      <c r="G139" s="6" t="s">
        <v>295</v>
      </c>
    </row>
    <row r="140" spans="2:8">
      <c r="B140" s="6" t="s">
        <v>291</v>
      </c>
      <c r="C140" s="8">
        <v>1</v>
      </c>
      <c r="D140" s="8">
        <v>-0.25323929033246517</v>
      </c>
      <c r="E140" s="8">
        <v>-0.29741027725379171</v>
      </c>
      <c r="F140" s="8">
        <v>0.11943664723801087</v>
      </c>
      <c r="G140" s="8">
        <v>-0.27210913843436901</v>
      </c>
    </row>
    <row r="141" spans="2:8">
      <c r="B141" s="6" t="s">
        <v>292</v>
      </c>
      <c r="C141" s="8">
        <v>-0.25323929033246517</v>
      </c>
      <c r="D141" s="8">
        <v>1</v>
      </c>
      <c r="E141" s="8">
        <v>-0.18245262095504924</v>
      </c>
      <c r="F141" s="8">
        <v>-0.12575253170559203</v>
      </c>
      <c r="G141" s="8">
        <v>0.32729251774968615</v>
      </c>
    </row>
    <row r="142" spans="2:8">
      <c r="B142" s="6" t="s">
        <v>293</v>
      </c>
      <c r="C142" s="8">
        <v>-0.29741027725379171</v>
      </c>
      <c r="D142" s="8">
        <v>-0.18245262095504924</v>
      </c>
      <c r="E142" s="8">
        <v>1</v>
      </c>
      <c r="F142" s="8">
        <v>-0.12739067490834854</v>
      </c>
      <c r="G142" s="8">
        <v>-1.4282497413060672E-2</v>
      </c>
    </row>
    <row r="143" spans="2:8">
      <c r="B143" s="6" t="s">
        <v>294</v>
      </c>
      <c r="C143" s="8">
        <v>0.11943664723801087</v>
      </c>
      <c r="D143" s="8">
        <v>-0.12575253170559203</v>
      </c>
      <c r="E143" s="8">
        <v>-0.12739067490834854</v>
      </c>
      <c r="F143" s="8">
        <v>1</v>
      </c>
      <c r="G143" s="8">
        <v>-0.21978014003048096</v>
      </c>
    </row>
    <row r="144" spans="2:8">
      <c r="B144" s="6" t="s">
        <v>295</v>
      </c>
      <c r="C144" s="8">
        <v>-0.27210913843436901</v>
      </c>
      <c r="D144" s="8">
        <v>0.32729251774968615</v>
      </c>
      <c r="E144" s="8">
        <v>-1.4282497413060672E-2</v>
      </c>
      <c r="F144" s="8">
        <v>-0.21978014003048096</v>
      </c>
      <c r="G144" s="8">
        <v>1</v>
      </c>
    </row>
    <row r="147" spans="1:12">
      <c r="A147" s="17" t="s">
        <v>339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s="21" customFormat="1"/>
    <row r="149" spans="1:12" s="21" customFormat="1"/>
    <row r="150" spans="1:12">
      <c r="B150" s="6" t="s">
        <v>6</v>
      </c>
      <c r="C150" s="109" t="s">
        <v>340</v>
      </c>
      <c r="D150" s="2"/>
      <c r="E150" s="2"/>
      <c r="F150" s="2"/>
      <c r="G150" s="2"/>
      <c r="H150" s="2"/>
    </row>
    <row r="151" spans="1:12">
      <c r="C151" s="109" t="s">
        <v>341</v>
      </c>
      <c r="D151" s="2"/>
      <c r="E151" s="2"/>
      <c r="F151" s="2"/>
      <c r="G151" s="2"/>
      <c r="H151" s="2"/>
    </row>
    <row r="153" spans="1:12">
      <c r="B153" s="241" t="s">
        <v>338</v>
      </c>
      <c r="C153" s="241" t="s">
        <v>382</v>
      </c>
      <c r="D153" s="241"/>
      <c r="E153" s="241"/>
      <c r="F153" s="241"/>
      <c r="G153" s="241"/>
    </row>
    <row r="154" spans="1:12">
      <c r="B154" s="241"/>
      <c r="C154" s="6" t="s">
        <v>342</v>
      </c>
      <c r="D154" s="6" t="s">
        <v>342</v>
      </c>
      <c r="E154" s="6" t="s">
        <v>342</v>
      </c>
      <c r="F154" s="6" t="s">
        <v>342</v>
      </c>
      <c r="G154" s="6" t="s">
        <v>342</v>
      </c>
    </row>
    <row r="155" spans="1:12">
      <c r="B155" s="6" t="s">
        <v>291</v>
      </c>
      <c r="C155" s="8">
        <v>-0.69038576148299313</v>
      </c>
      <c r="D155" s="8">
        <v>-0.34424438288397657</v>
      </c>
      <c r="E155" s="8">
        <v>0.44495610009490871</v>
      </c>
      <c r="F155" s="8">
        <v>-0.15226055288391746</v>
      </c>
      <c r="G155" s="8">
        <v>-0.42859549486455362</v>
      </c>
    </row>
    <row r="156" spans="1:12">
      <c r="B156" s="6" t="s">
        <v>292</v>
      </c>
      <c r="C156" s="8">
        <v>0.63068419662189912</v>
      </c>
      <c r="D156" s="8">
        <v>-0.52338000648484584</v>
      </c>
      <c r="E156" s="8">
        <v>-0.19418275814209157</v>
      </c>
      <c r="F156" s="8">
        <v>0.40873668079979963</v>
      </c>
      <c r="G156" s="8">
        <v>-0.35148000676056113</v>
      </c>
    </row>
    <row r="157" spans="1:12">
      <c r="B157" s="6" t="s">
        <v>293</v>
      </c>
      <c r="C157" s="8">
        <v>0.20754147620456326</v>
      </c>
      <c r="D157" s="8">
        <v>0.88398660533203599</v>
      </c>
      <c r="E157" s="8">
        <v>-6.7622488250077314E-2</v>
      </c>
      <c r="F157" s="8">
        <v>-2.1833853436409263E-2</v>
      </c>
      <c r="G157" s="8">
        <v>-0.41284948731390986</v>
      </c>
    </row>
    <row r="158" spans="1:12">
      <c r="B158" s="6" t="s">
        <v>294</v>
      </c>
      <c r="C158" s="8">
        <v>-0.50131166627474488</v>
      </c>
      <c r="D158" s="8">
        <v>-0.15015102036738898</v>
      </c>
      <c r="E158" s="8">
        <v>-0.81530599988762298</v>
      </c>
      <c r="F158" s="8">
        <v>-0.21687021743886459</v>
      </c>
      <c r="G158" s="8">
        <v>-0.11993631507901392</v>
      </c>
    </row>
    <row r="159" spans="1:12">
      <c r="B159" s="6" t="s">
        <v>295</v>
      </c>
      <c r="C159" s="8">
        <v>0.72388001867071616</v>
      </c>
      <c r="D159" s="8">
        <v>-0.22974838431103367</v>
      </c>
      <c r="E159" s="8">
        <v>4.8311064836407881E-2</v>
      </c>
      <c r="F159" s="8">
        <v>-0.64525945012359653</v>
      </c>
      <c r="G159" s="8">
        <v>-6.7228576634639103E-2</v>
      </c>
    </row>
    <row r="162" spans="1:12">
      <c r="A162" s="17" t="s">
        <v>343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4" spans="1:12">
      <c r="B164" s="9"/>
    </row>
    <row r="165" spans="1:12">
      <c r="B165" s="6" t="s">
        <v>6</v>
      </c>
      <c r="C165" s="109" t="s">
        <v>344</v>
      </c>
      <c r="D165" s="2"/>
      <c r="E165" s="2"/>
      <c r="F165" s="2"/>
      <c r="G165" s="2"/>
      <c r="H165" s="2"/>
    </row>
    <row r="166" spans="1:12">
      <c r="C166" s="109" t="s">
        <v>345</v>
      </c>
      <c r="D166" s="2"/>
      <c r="E166" s="2"/>
      <c r="F166" s="2"/>
      <c r="G166" s="2"/>
      <c r="H166" s="2"/>
    </row>
    <row r="168" spans="1:12">
      <c r="B168" s="241" t="s">
        <v>346</v>
      </c>
      <c r="C168" s="102" t="s">
        <v>384</v>
      </c>
    </row>
    <row r="169" spans="1:12">
      <c r="B169" s="241"/>
      <c r="C169" s="6" t="s">
        <v>347</v>
      </c>
    </row>
    <row r="170" spans="1:12">
      <c r="B170" s="6" t="s">
        <v>296</v>
      </c>
      <c r="C170" s="8">
        <v>1.6927841880461099</v>
      </c>
    </row>
    <row r="171" spans="1:12">
      <c r="B171" s="6" t="s">
        <v>297</v>
      </c>
      <c r="C171" s="8">
        <v>1.2491927937526035</v>
      </c>
    </row>
    <row r="172" spans="1:12">
      <c r="B172" s="6" t="s">
        <v>298</v>
      </c>
      <c r="C172" s="8">
        <v>0.90732350792685657</v>
      </c>
    </row>
    <row r="173" spans="1:12">
      <c r="B173" s="6" t="s">
        <v>299</v>
      </c>
      <c r="C173" s="8">
        <v>0.65411811653742225</v>
      </c>
    </row>
    <row r="174" spans="1:12">
      <c r="B174" s="6" t="s">
        <v>300</v>
      </c>
      <c r="C174" s="8">
        <v>0.4965813937370061</v>
      </c>
    </row>
    <row r="176" spans="1:12">
      <c r="B176" s="125" t="s">
        <v>223</v>
      </c>
      <c r="C176" s="101" t="s">
        <v>348</v>
      </c>
      <c r="D176" s="8"/>
      <c r="E176" s="8"/>
      <c r="F176" s="8"/>
      <c r="G176" s="8"/>
      <c r="H176" s="8"/>
    </row>
    <row r="177" spans="2:8">
      <c r="C177" s="8"/>
      <c r="D177" s="8"/>
      <c r="E177" s="8"/>
      <c r="F177" s="8"/>
      <c r="G177" s="8"/>
      <c r="H177" s="8"/>
    </row>
    <row r="180" spans="2:8">
      <c r="B180" s="6" t="s">
        <v>383</v>
      </c>
      <c r="C180" s="2" t="s">
        <v>333</v>
      </c>
      <c r="D180" s="2"/>
      <c r="E180" s="2"/>
      <c r="F180" s="2"/>
      <c r="G180" s="2"/>
      <c r="H180" s="2"/>
    </row>
    <row r="181" spans="2:8">
      <c r="C181" s="2"/>
      <c r="D181" s="2"/>
      <c r="E181" s="2"/>
      <c r="F181" s="2"/>
      <c r="G181" s="2"/>
      <c r="H181" s="2"/>
    </row>
    <row r="183" spans="2:8">
      <c r="B183" s="241" t="s">
        <v>338</v>
      </c>
      <c r="C183" s="241"/>
      <c r="D183" s="241"/>
      <c r="E183" s="241"/>
      <c r="F183" s="241"/>
      <c r="G183" s="241"/>
    </row>
    <row r="184" spans="2:8">
      <c r="B184" s="241"/>
      <c r="C184" s="6" t="s">
        <v>342</v>
      </c>
      <c r="D184" s="6" t="s">
        <v>342</v>
      </c>
      <c r="E184" s="6" t="s">
        <v>342</v>
      </c>
      <c r="F184" s="6" t="s">
        <v>342</v>
      </c>
      <c r="G184" s="6" t="s">
        <v>342</v>
      </c>
    </row>
    <row r="185" spans="2:8">
      <c r="B185" s="6" t="s">
        <v>291</v>
      </c>
      <c r="C185" s="126">
        <f t="array" ref="C185:G189">MMULT(TRANSPOSE(C155:G159),C155:G159)</f>
        <v>1.6927841880461094</v>
      </c>
      <c r="D185" s="126">
        <v>3.0531133177191805E-16</v>
      </c>
      <c r="E185" s="126">
        <v>-4.4408920985006262E-16</v>
      </c>
      <c r="F185" s="126">
        <v>0</v>
      </c>
      <c r="G185" s="126">
        <v>2.0816681711721685E-17</v>
      </c>
    </row>
    <row r="186" spans="2:8">
      <c r="B186" s="6" t="s">
        <v>292</v>
      </c>
      <c r="C186" s="126">
        <v>3.0531133177191805E-16</v>
      </c>
      <c r="D186" s="126">
        <v>1.2491927937526024</v>
      </c>
      <c r="E186" s="126">
        <v>-3.6949610038305991E-16</v>
      </c>
      <c r="F186" s="126">
        <v>4.4408920985006262E-16</v>
      </c>
      <c r="G186" s="126">
        <v>-1.9081958235744878E-16</v>
      </c>
    </row>
    <row r="187" spans="2:8">
      <c r="B187" s="6" t="s">
        <v>293</v>
      </c>
      <c r="C187" s="126">
        <v>-4.4408920985006262E-16</v>
      </c>
      <c r="D187" s="126">
        <v>-3.6949610038305991E-16</v>
      </c>
      <c r="E187" s="126">
        <v>0.90732350792685657</v>
      </c>
      <c r="F187" s="126">
        <v>-7.9797279894933126E-17</v>
      </c>
      <c r="G187" s="126">
        <v>-2.2854981795994433E-16</v>
      </c>
    </row>
    <row r="188" spans="2:8">
      <c r="B188" s="6" t="s">
        <v>294</v>
      </c>
      <c r="C188" s="126">
        <v>0</v>
      </c>
      <c r="D188" s="126">
        <v>4.4408920985006262E-16</v>
      </c>
      <c r="E188" s="126">
        <v>-7.9797279894933126E-17</v>
      </c>
      <c r="F188" s="126">
        <v>0.65411811653742269</v>
      </c>
      <c r="G188" s="126">
        <v>9.0205620750793969E-17</v>
      </c>
    </row>
    <row r="189" spans="2:8">
      <c r="B189" s="6" t="s">
        <v>295</v>
      </c>
      <c r="C189" s="126">
        <v>2.0816681711721685E-17</v>
      </c>
      <c r="D189" s="126">
        <v>-1.9081958235744878E-16</v>
      </c>
      <c r="E189" s="126">
        <v>-2.2854981795994433E-16</v>
      </c>
      <c r="F189" s="126">
        <v>9.0205620750793969E-17</v>
      </c>
      <c r="G189" s="126">
        <v>0.49658139373700594</v>
      </c>
    </row>
    <row r="191" spans="2:8">
      <c r="B191" s="125" t="s">
        <v>223</v>
      </c>
      <c r="C191" s="101" t="s">
        <v>349</v>
      </c>
      <c r="D191" s="8"/>
      <c r="E191" s="8"/>
      <c r="F191" s="8"/>
      <c r="G191" s="8"/>
      <c r="H191" s="8"/>
    </row>
    <row r="192" spans="2:8">
      <c r="C192" s="8"/>
      <c r="D192" s="8"/>
      <c r="E192" s="8"/>
      <c r="F192" s="8"/>
      <c r="G192" s="8"/>
      <c r="H192" s="8"/>
    </row>
    <row r="193" spans="3:8">
      <c r="C193" s="101" t="s">
        <v>350</v>
      </c>
      <c r="D193" s="8"/>
      <c r="E193" s="8"/>
      <c r="F193" s="8"/>
      <c r="G193" s="8"/>
      <c r="H193" s="8"/>
    </row>
    <row r="194" spans="3:8">
      <c r="C194" s="101" t="s">
        <v>351</v>
      </c>
      <c r="D194" s="8"/>
      <c r="E194" s="8"/>
      <c r="F194" s="8"/>
      <c r="G194" s="8"/>
      <c r="H194" s="8"/>
    </row>
    <row r="195" spans="3:8">
      <c r="C195" s="101" t="s">
        <v>352</v>
      </c>
      <c r="D195" s="8"/>
      <c r="E195" s="8"/>
      <c r="F195" s="8"/>
      <c r="G195" s="8"/>
      <c r="H195" s="8"/>
    </row>
    <row r="196" spans="3:8">
      <c r="C196" s="101" t="s">
        <v>353</v>
      </c>
      <c r="D196" s="8"/>
      <c r="E196" s="8"/>
      <c r="F196" s="8"/>
      <c r="G196" s="8"/>
      <c r="H196" s="8"/>
    </row>
  </sheetData>
  <mergeCells count="8">
    <mergeCell ref="B183:B184"/>
    <mergeCell ref="C183:G183"/>
    <mergeCell ref="B32:F32"/>
    <mergeCell ref="B138:B139"/>
    <mergeCell ref="C138:G138"/>
    <mergeCell ref="B153:B154"/>
    <mergeCell ref="C153:G153"/>
    <mergeCell ref="B168:B169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690"/>
  <sheetViews>
    <sheetView workbookViewId="0">
      <selection activeCell="A43" sqref="A43:IV43"/>
    </sheetView>
  </sheetViews>
  <sheetFormatPr baseColWidth="10" defaultRowHeight="12.75"/>
  <cols>
    <col min="2" max="2" width="13.28515625" customWidth="1"/>
    <col min="3" max="6" width="13" bestFit="1" customWidth="1"/>
    <col min="7" max="8" width="13.140625" bestFit="1" customWidth="1"/>
    <col min="9" max="9" width="13" bestFit="1" customWidth="1"/>
    <col min="10" max="11" width="13.140625" bestFit="1" customWidth="1"/>
    <col min="12" max="12" width="13.28515625" customWidth="1"/>
    <col min="13" max="13" width="12.42578125" bestFit="1" customWidth="1"/>
  </cols>
  <sheetData>
    <row r="1" spans="1:53" s="10" customFormat="1" ht="20.25">
      <c r="A1" s="10" t="s">
        <v>445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446</v>
      </c>
      <c r="B7" s="9"/>
    </row>
    <row r="9" spans="1:53">
      <c r="B9" s="6" t="s">
        <v>385</v>
      </c>
      <c r="C9" s="6" t="s">
        <v>386</v>
      </c>
      <c r="D9" s="6" t="s">
        <v>387</v>
      </c>
      <c r="E9" s="6" t="s">
        <v>388</v>
      </c>
      <c r="F9" s="6" t="s">
        <v>389</v>
      </c>
      <c r="G9" s="6" t="s">
        <v>390</v>
      </c>
      <c r="H9" s="6" t="s">
        <v>391</v>
      </c>
      <c r="I9" s="6" t="s">
        <v>392</v>
      </c>
      <c r="J9" s="6" t="s">
        <v>393</v>
      </c>
      <c r="K9" s="6" t="s">
        <v>394</v>
      </c>
      <c r="L9" s="6" t="s">
        <v>395</v>
      </c>
    </row>
    <row r="10" spans="1:53">
      <c r="B10" s="6">
        <v>1</v>
      </c>
      <c r="C10" s="2">
        <v>105.12588249091399</v>
      </c>
      <c r="D10" s="2">
        <v>101.65869762564587</v>
      </c>
      <c r="E10" s="2">
        <v>115.0603370260315</v>
      </c>
      <c r="F10" s="2">
        <v>100.99814211716398</v>
      </c>
      <c r="G10" s="2">
        <v>95.184438278991394</v>
      </c>
      <c r="H10" s="2">
        <v>100.28127077439498</v>
      </c>
      <c r="I10" s="2">
        <v>101.66689693464429</v>
      </c>
      <c r="J10" s="2">
        <v>85.55300689326009</v>
      </c>
      <c r="K10" s="2">
        <v>104.03459937049359</v>
      </c>
      <c r="L10" s="2">
        <v>110.27806113280428</v>
      </c>
    </row>
    <row r="11" spans="1:53">
      <c r="B11" s="6">
        <f>B10+1</f>
        <v>2</v>
      </c>
      <c r="C11" s="2">
        <v>77.049018003512771</v>
      </c>
      <c r="D11" s="2">
        <v>72.933421046117758</v>
      </c>
      <c r="E11" s="2">
        <v>77.485093963173128</v>
      </c>
      <c r="F11" s="2">
        <v>72.743694632449063</v>
      </c>
      <c r="G11" s="2">
        <v>61.563003066168903</v>
      </c>
      <c r="H11" s="2">
        <v>93.854052056439585</v>
      </c>
      <c r="I11" s="2">
        <v>95.391729497379274</v>
      </c>
      <c r="J11" s="2">
        <v>88.609307211967874</v>
      </c>
      <c r="K11" s="2">
        <v>70.115286877735187</v>
      </c>
      <c r="L11" s="2">
        <v>72.000300512953288</v>
      </c>
    </row>
    <row r="12" spans="1:53">
      <c r="B12" s="6">
        <f t="shared" ref="B12:B39" si="0">B11+1</f>
        <v>3</v>
      </c>
      <c r="C12" s="2">
        <v>86.016702154346902</v>
      </c>
      <c r="D12" s="2">
        <v>82.206477566180013</v>
      </c>
      <c r="E12" s="2">
        <v>78.888889380291658</v>
      </c>
      <c r="F12" s="2">
        <v>77.951179382575958</v>
      </c>
      <c r="G12" s="2">
        <v>91.705126399108153</v>
      </c>
      <c r="H12" s="2">
        <v>86.773382845222443</v>
      </c>
      <c r="I12" s="2">
        <v>108.07002759822851</v>
      </c>
      <c r="J12" s="2">
        <v>93.347801429577274</v>
      </c>
      <c r="K12" s="2">
        <v>86.021107710470645</v>
      </c>
      <c r="L12" s="2">
        <v>70.687901660079078</v>
      </c>
    </row>
    <row r="13" spans="1:53">
      <c r="B13" s="6">
        <f t="shared" si="0"/>
        <v>4</v>
      </c>
      <c r="C13" s="2">
        <v>91.424704559144402</v>
      </c>
      <c r="D13" s="2">
        <v>106.1065437955032</v>
      </c>
      <c r="E13" s="2">
        <v>95.63981812495912</v>
      </c>
      <c r="F13" s="2">
        <v>90.900565578778085</v>
      </c>
      <c r="G13" s="2">
        <v>111.46615684502225</v>
      </c>
      <c r="H13" s="2">
        <v>100.24839858093412</v>
      </c>
      <c r="I13" s="2">
        <v>86.080498454656578</v>
      </c>
      <c r="J13" s="2">
        <v>93.822049957967607</v>
      </c>
      <c r="K13" s="2">
        <v>101.22391420189811</v>
      </c>
      <c r="L13" s="2">
        <v>82.665472899756409</v>
      </c>
    </row>
    <row r="14" spans="1:53">
      <c r="B14" s="6">
        <f t="shared" si="0"/>
        <v>5</v>
      </c>
      <c r="C14" s="2">
        <v>113.71431530236973</v>
      </c>
      <c r="D14" s="2">
        <v>92.028720540782544</v>
      </c>
      <c r="E14" s="2">
        <v>99.078943914512777</v>
      </c>
      <c r="F14" s="2">
        <v>79.277423781682998</v>
      </c>
      <c r="G14" s="2">
        <v>98.41610092997162</v>
      </c>
      <c r="H14" s="2">
        <v>104.01265533431027</v>
      </c>
      <c r="I14" s="2">
        <v>83.27108684181465</v>
      </c>
      <c r="J14" s="2">
        <v>69.621481627782259</v>
      </c>
      <c r="K14" s="2">
        <v>82.820226622535287</v>
      </c>
      <c r="L14" s="2">
        <v>70.022294924810808</v>
      </c>
    </row>
    <row r="15" spans="1:53">
      <c r="B15" s="6">
        <f t="shared" si="0"/>
        <v>6</v>
      </c>
      <c r="C15" s="2">
        <v>86.606144472019324</v>
      </c>
      <c r="D15" s="2">
        <v>87.817139934366281</v>
      </c>
      <c r="E15" s="2">
        <v>67.662535180904058</v>
      </c>
      <c r="F15" s="2">
        <v>93.662206261407135</v>
      </c>
      <c r="G15" s="2">
        <v>77.996703884141027</v>
      </c>
      <c r="H15" s="2">
        <v>99.821579075318169</v>
      </c>
      <c r="I15" s="2">
        <v>97.275232371643824</v>
      </c>
      <c r="J15" s="2">
        <v>108.62156978353451</v>
      </c>
      <c r="K15" s="2">
        <v>91.399567196850427</v>
      </c>
      <c r="L15" s="2">
        <v>79.775686717654736</v>
      </c>
    </row>
    <row r="16" spans="1:53">
      <c r="B16" s="6">
        <f t="shared" si="0"/>
        <v>7</v>
      </c>
      <c r="C16" s="2">
        <v>95.066620890113171</v>
      </c>
      <c r="D16" s="2">
        <v>94.504960426697721</v>
      </c>
      <c r="E16" s="2">
        <v>98.081447809538787</v>
      </c>
      <c r="F16" s="2">
        <v>94.51310849613445</v>
      </c>
      <c r="G16" s="2">
        <v>97.421922356565759</v>
      </c>
      <c r="H16" s="2">
        <v>93.693986753900774</v>
      </c>
      <c r="I16" s="2">
        <v>99.180649255341777</v>
      </c>
      <c r="J16" s="2">
        <v>96.398377637527915</v>
      </c>
      <c r="K16" s="2">
        <v>90.731859689629005</v>
      </c>
      <c r="L16" s="2">
        <v>86.706995879959365</v>
      </c>
    </row>
    <row r="17" spans="2:16">
      <c r="B17" s="6">
        <f t="shared" si="0"/>
        <v>8</v>
      </c>
      <c r="C17" s="2">
        <v>113.50008154153507</v>
      </c>
      <c r="D17" s="2">
        <v>104.60686409054962</v>
      </c>
      <c r="E17" s="2">
        <v>105.57241186273285</v>
      </c>
      <c r="F17" s="2">
        <v>101.00805608094571</v>
      </c>
      <c r="G17" s="2">
        <v>102.27467886996573</v>
      </c>
      <c r="H17" s="2">
        <v>87.426500275157636</v>
      </c>
      <c r="I17" s="2">
        <v>96.664345513408506</v>
      </c>
      <c r="J17" s="2">
        <v>86.577116465834479</v>
      </c>
      <c r="K17" s="2">
        <v>93.056927593167956</v>
      </c>
      <c r="L17" s="2">
        <v>112.70219569991133</v>
      </c>
    </row>
    <row r="18" spans="2:16">
      <c r="B18" s="6">
        <f t="shared" si="0"/>
        <v>9</v>
      </c>
      <c r="C18" s="2">
        <v>104.54897077933794</v>
      </c>
      <c r="D18" s="2">
        <v>97.299498019165796</v>
      </c>
      <c r="E18" s="2">
        <v>94.073607877012535</v>
      </c>
      <c r="F18" s="2">
        <v>88.538353646223896</v>
      </c>
      <c r="G18" s="2">
        <v>98.112002774973632</v>
      </c>
      <c r="H18" s="2">
        <v>97.78540293755762</v>
      </c>
      <c r="I18" s="2">
        <v>99.585270521505606</v>
      </c>
      <c r="J18" s="2">
        <v>99.761006414388987</v>
      </c>
      <c r="K18" s="2">
        <v>99.398797042533175</v>
      </c>
      <c r="L18" s="2">
        <v>105.90816577293202</v>
      </c>
    </row>
    <row r="19" spans="2:16">
      <c r="B19" s="6">
        <f t="shared" si="0"/>
        <v>10</v>
      </c>
      <c r="C19" s="2">
        <v>104.63529779979</v>
      </c>
      <c r="D19" s="2">
        <v>97.90846208962644</v>
      </c>
      <c r="E19" s="2">
        <v>85.822700649789027</v>
      </c>
      <c r="F19" s="2">
        <v>82.485834510957773</v>
      </c>
      <c r="G19" s="2">
        <v>90.446967880151973</v>
      </c>
      <c r="H19" s="2">
        <v>104.6881455495206</v>
      </c>
      <c r="I19" s="2">
        <v>95.076201540840927</v>
      </c>
      <c r="J19" s="2">
        <v>99.694732507449388</v>
      </c>
      <c r="K19" s="2">
        <v>77.629647697442124</v>
      </c>
      <c r="L19" s="2">
        <v>62.031191060081852</v>
      </c>
    </row>
    <row r="20" spans="2:16">
      <c r="B20" s="6">
        <f t="shared" si="0"/>
        <v>11</v>
      </c>
      <c r="C20" s="2">
        <v>102.06389259502473</v>
      </c>
      <c r="D20" s="2">
        <v>87.01023418877061</v>
      </c>
      <c r="E20" s="2">
        <v>94.687377827913153</v>
      </c>
      <c r="F20" s="2">
        <v>79.202549492623945</v>
      </c>
      <c r="G20" s="2">
        <v>68.481945620786348</v>
      </c>
      <c r="H20" s="2">
        <v>78.995284618200046</v>
      </c>
      <c r="I20" s="2">
        <v>86.429828419013887</v>
      </c>
      <c r="J20" s="2">
        <v>78.821711771458695</v>
      </c>
      <c r="K20" s="2">
        <v>89.729404981133882</v>
      </c>
      <c r="L20" s="2">
        <v>87.552634986426852</v>
      </c>
    </row>
    <row r="21" spans="2:16">
      <c r="B21" s="6">
        <f t="shared" si="0"/>
        <v>12</v>
      </c>
      <c r="C21" s="2">
        <v>109.42786571840668</v>
      </c>
      <c r="D21" s="2">
        <v>94.937015716426401</v>
      </c>
      <c r="E21" s="2">
        <v>104.39567344431725</v>
      </c>
      <c r="F21" s="2">
        <v>119.29294194150847</v>
      </c>
      <c r="G21" s="2">
        <v>112.98822126559351</v>
      </c>
      <c r="H21" s="2">
        <v>122.93104007611959</v>
      </c>
      <c r="I21" s="2">
        <v>114.81605167647513</v>
      </c>
      <c r="J21" s="2">
        <v>102.10941193607555</v>
      </c>
      <c r="K21" s="2">
        <v>116.3387095638348</v>
      </c>
      <c r="L21" s="2">
        <v>101.36312663686829</v>
      </c>
    </row>
    <row r="22" spans="2:16">
      <c r="B22" s="6">
        <f t="shared" si="0"/>
        <v>13</v>
      </c>
      <c r="C22" s="2">
        <v>89.993722378530421</v>
      </c>
      <c r="D22" s="2">
        <v>77.391860402497201</v>
      </c>
      <c r="E22" s="2">
        <v>100.77077977059599</v>
      </c>
      <c r="F22" s="2">
        <v>97.025972638846625</v>
      </c>
      <c r="G22" s="2">
        <v>111.10680680600372</v>
      </c>
      <c r="H22" s="2">
        <v>107.66026395508047</v>
      </c>
      <c r="I22" s="2">
        <v>116.85830200683162</v>
      </c>
      <c r="J22" s="2">
        <v>114.72958406827985</v>
      </c>
      <c r="K22" s="2">
        <v>88.714605841632576</v>
      </c>
      <c r="L22" s="2">
        <v>76.495471210909812</v>
      </c>
    </row>
    <row r="23" spans="2:16">
      <c r="B23" s="6">
        <f t="shared" si="0"/>
        <v>14</v>
      </c>
      <c r="C23" s="2">
        <v>89.983434824415028</v>
      </c>
      <c r="D23" s="2">
        <v>91.258750672512917</v>
      </c>
      <c r="E23" s="2">
        <v>89.21596282178335</v>
      </c>
      <c r="F23" s="2">
        <v>81.250232795939183</v>
      </c>
      <c r="G23" s="2">
        <v>100.51928619871805</v>
      </c>
      <c r="H23" s="2">
        <v>94.901883319457056</v>
      </c>
      <c r="I23" s="2">
        <v>96.723275710428211</v>
      </c>
      <c r="J23" s="2">
        <v>94.411301323296755</v>
      </c>
      <c r="K23" s="2">
        <v>88.418536444402974</v>
      </c>
      <c r="L23" s="2">
        <v>89.670410121330036</v>
      </c>
    </row>
    <row r="24" spans="2:16">
      <c r="B24" s="6">
        <f t="shared" si="0"/>
        <v>15</v>
      </c>
      <c r="C24" s="2">
        <v>96.946076400394176</v>
      </c>
      <c r="D24" s="2">
        <v>103.04326619721112</v>
      </c>
      <c r="E24" s="2">
        <v>97.493133472672511</v>
      </c>
      <c r="F24" s="2">
        <v>98.515277811436448</v>
      </c>
      <c r="G24" s="2">
        <v>96.8327711227669</v>
      </c>
      <c r="H24" s="2">
        <v>92.778383074427282</v>
      </c>
      <c r="I24" s="2">
        <v>110.07243973476795</v>
      </c>
      <c r="J24" s="2">
        <v>95.161647772940626</v>
      </c>
      <c r="K24" s="2">
        <v>102.36846766737978</v>
      </c>
      <c r="L24" s="2">
        <v>105.51739600250951</v>
      </c>
    </row>
    <row r="25" spans="2:16">
      <c r="B25" s="6">
        <f t="shared" si="0"/>
        <v>16</v>
      </c>
      <c r="C25" s="2">
        <v>93.210096734370239</v>
      </c>
      <c r="D25" s="2">
        <v>93.842517881563737</v>
      </c>
      <c r="E25" s="2">
        <v>87.345304116831002</v>
      </c>
      <c r="F25" s="2">
        <v>104.25588124122731</v>
      </c>
      <c r="G25" s="2">
        <v>115.32335396489135</v>
      </c>
      <c r="H25" s="2">
        <v>114.2855993506122</v>
      </c>
      <c r="I25" s="2">
        <v>111.61739439533598</v>
      </c>
      <c r="J25" s="2">
        <v>111.45463058342011</v>
      </c>
      <c r="K25" s="2">
        <v>95.700703449458274</v>
      </c>
      <c r="L25" s="2">
        <v>105.72363771784781</v>
      </c>
    </row>
    <row r="26" spans="2:16">
      <c r="B26" s="6">
        <f t="shared" si="0"/>
        <v>17</v>
      </c>
      <c r="C26" s="2">
        <v>70.905131695107485</v>
      </c>
      <c r="D26" s="2">
        <v>65.903041729660373</v>
      </c>
      <c r="E26" s="2">
        <v>74.230630131929388</v>
      </c>
      <c r="F26" s="2">
        <v>60.107569159166886</v>
      </c>
      <c r="G26" s="2">
        <v>47.087938049846471</v>
      </c>
      <c r="H26" s="2">
        <v>79.805538820649829</v>
      </c>
      <c r="I26" s="2">
        <v>94.798521449964653</v>
      </c>
      <c r="J26" s="2">
        <v>88.35220526927786</v>
      </c>
      <c r="K26" s="2">
        <v>54.658323959355265</v>
      </c>
      <c r="L26" s="2">
        <v>58.235023008094288</v>
      </c>
    </row>
    <row r="27" spans="2:16">
      <c r="B27" s="6">
        <f t="shared" si="0"/>
        <v>18</v>
      </c>
      <c r="C27" s="2">
        <v>114.85392474975727</v>
      </c>
      <c r="D27" s="2">
        <v>98.082815939757396</v>
      </c>
      <c r="E27" s="2">
        <v>105.63362976616952</v>
      </c>
      <c r="F27" s="2">
        <v>90.237141222963814</v>
      </c>
      <c r="G27" s="2">
        <v>101.01102729875845</v>
      </c>
      <c r="H27" s="2">
        <v>98.95116926617375</v>
      </c>
      <c r="I27" s="2">
        <v>87.92111234571054</v>
      </c>
      <c r="J27" s="2">
        <v>88.913343164940628</v>
      </c>
      <c r="K27" s="2">
        <v>91.296840392494971</v>
      </c>
      <c r="L27" s="2">
        <v>92.22373783503788</v>
      </c>
    </row>
    <row r="28" spans="2:16">
      <c r="B28" s="6">
        <f t="shared" si="0"/>
        <v>19</v>
      </c>
      <c r="C28" s="2">
        <v>100.31452440944631</v>
      </c>
      <c r="D28" s="2">
        <v>92.518447185922753</v>
      </c>
      <c r="E28" s="2">
        <v>87.608794581299151</v>
      </c>
      <c r="F28" s="2">
        <v>103.27291601222099</v>
      </c>
      <c r="G28" s="2">
        <v>88.647235860994655</v>
      </c>
      <c r="H28" s="2">
        <v>108.40083158730096</v>
      </c>
      <c r="I28" s="2">
        <v>103.56497549293671</v>
      </c>
      <c r="J28" s="2">
        <v>82.48619548483785</v>
      </c>
      <c r="K28" s="2">
        <v>102.32596065999657</v>
      </c>
      <c r="L28" s="2">
        <v>97.573176254263714</v>
      </c>
    </row>
    <row r="29" spans="2:16">
      <c r="B29" s="6">
        <f t="shared" si="0"/>
        <v>20</v>
      </c>
      <c r="C29" s="2">
        <v>111.35543404544134</v>
      </c>
      <c r="D29" s="2">
        <v>104.37293983044302</v>
      </c>
      <c r="E29" s="2">
        <v>101.85201390976337</v>
      </c>
      <c r="F29" s="2">
        <v>108.08321852980242</v>
      </c>
      <c r="G29" s="2">
        <v>121.88396615581551</v>
      </c>
      <c r="H29" s="2">
        <v>99.953666932418884</v>
      </c>
      <c r="I29" s="2">
        <v>96.687780568250247</v>
      </c>
      <c r="J29" s="2">
        <v>89.368927304800337</v>
      </c>
      <c r="K29" s="2">
        <v>102.14806953077056</v>
      </c>
      <c r="L29" s="2">
        <v>114.45092483721183</v>
      </c>
    </row>
    <row r="30" spans="2:16">
      <c r="B30" s="6">
        <f t="shared" si="0"/>
        <v>21</v>
      </c>
      <c r="C30" s="2">
        <v>108.79769093664295</v>
      </c>
      <c r="D30" s="2">
        <v>97.875741965219078</v>
      </c>
      <c r="E30" s="2">
        <v>91.457155573937513</v>
      </c>
      <c r="F30" s="2">
        <v>99.551743312530405</v>
      </c>
      <c r="G30" s="2">
        <v>110.48620626358066</v>
      </c>
      <c r="H30" s="2">
        <v>104.37538729264125</v>
      </c>
      <c r="I30" s="2">
        <v>95.027934297676993</v>
      </c>
      <c r="J30" s="2">
        <v>85.508369309090327</v>
      </c>
      <c r="K30" s="2">
        <v>94.533504779445977</v>
      </c>
      <c r="L30" s="2">
        <v>91.801563737093801</v>
      </c>
    </row>
    <row r="31" spans="2:16">
      <c r="B31" s="6">
        <f t="shared" si="0"/>
        <v>22</v>
      </c>
      <c r="C31" s="2">
        <v>74.722746078556881</v>
      </c>
      <c r="D31" s="2">
        <v>105.61513427002572</v>
      </c>
      <c r="E31" s="2">
        <v>102.24573157620337</v>
      </c>
      <c r="F31" s="2">
        <v>90.169167627145256</v>
      </c>
      <c r="G31" s="2">
        <v>93.522016576728319</v>
      </c>
      <c r="H31" s="2">
        <v>86.003105876900491</v>
      </c>
      <c r="I31" s="2">
        <v>94.308034694945675</v>
      </c>
      <c r="J31" s="2">
        <v>106.23300394368819</v>
      </c>
      <c r="K31" s="2">
        <v>85.309825992243063</v>
      </c>
      <c r="L31" s="2">
        <v>87.672766117362002</v>
      </c>
      <c r="P31" s="12"/>
    </row>
    <row r="32" spans="2:16">
      <c r="B32" s="6">
        <f t="shared" si="0"/>
        <v>23</v>
      </c>
      <c r="C32" s="2">
        <v>93.878479346320262</v>
      </c>
      <c r="D32" s="2">
        <v>90.580026722443833</v>
      </c>
      <c r="E32" s="2">
        <v>95.485946878674653</v>
      </c>
      <c r="F32" s="2">
        <v>86.063358915696497</v>
      </c>
      <c r="G32" s="2">
        <v>92.444487927919084</v>
      </c>
      <c r="H32" s="2">
        <v>107.83376704312585</v>
      </c>
      <c r="I32" s="2">
        <v>97.737575463039974</v>
      </c>
      <c r="J32" s="2">
        <v>105.22486628698348</v>
      </c>
      <c r="K32" s="2">
        <v>87.352797704440519</v>
      </c>
      <c r="L32" s="2">
        <v>89.168420504447781</v>
      </c>
    </row>
    <row r="33" spans="1:13">
      <c r="B33" s="6">
        <f t="shared" si="0"/>
        <v>24</v>
      </c>
      <c r="C33" s="2">
        <v>77.935936383051612</v>
      </c>
      <c r="D33" s="2">
        <v>94.986731018382315</v>
      </c>
      <c r="E33" s="2">
        <v>98.585611648101093</v>
      </c>
      <c r="F33" s="2">
        <v>100.32474945223804</v>
      </c>
      <c r="G33" s="2">
        <v>100.90572782840543</v>
      </c>
      <c r="H33" s="2">
        <v>96.458451683946137</v>
      </c>
      <c r="I33" s="2">
        <v>95.406460717615317</v>
      </c>
      <c r="J33" s="2">
        <v>95.111453284747896</v>
      </c>
      <c r="K33" s="2">
        <v>104.17515446019026</v>
      </c>
      <c r="L33" s="2">
        <v>115.84684691889527</v>
      </c>
    </row>
    <row r="34" spans="1:13">
      <c r="B34" s="6">
        <f t="shared" si="0"/>
        <v>25</v>
      </c>
      <c r="C34" s="2">
        <v>77.514894908765186</v>
      </c>
      <c r="D34" s="2">
        <v>100.67225281321043</v>
      </c>
      <c r="E34" s="2">
        <v>102.30054247608349</v>
      </c>
      <c r="F34" s="2">
        <v>99.828368218745837</v>
      </c>
      <c r="G34" s="2">
        <v>106.56998767958504</v>
      </c>
      <c r="H34" s="2">
        <v>109.10103390164093</v>
      </c>
      <c r="I34" s="2">
        <v>116.68012121463855</v>
      </c>
      <c r="J34" s="2">
        <v>105.654751436974</v>
      </c>
      <c r="K34" s="2">
        <v>106.49805673552628</v>
      </c>
      <c r="L34" s="2">
        <v>107.61577822199143</v>
      </c>
    </row>
    <row r="35" spans="1:13">
      <c r="B35" s="6">
        <f t="shared" si="0"/>
        <v>26</v>
      </c>
      <c r="C35" s="2">
        <v>99.122652173936402</v>
      </c>
      <c r="D35" s="2">
        <v>110.27314224800213</v>
      </c>
      <c r="E35" s="2">
        <v>120.53068653673918</v>
      </c>
      <c r="F35" s="2">
        <v>115.78412517599577</v>
      </c>
      <c r="G35" s="2">
        <v>118.91362825245602</v>
      </c>
      <c r="H35" s="2">
        <v>109.74694903339955</v>
      </c>
      <c r="I35" s="2">
        <v>108.69002036826058</v>
      </c>
      <c r="J35" s="2">
        <v>119.01876070107511</v>
      </c>
      <c r="K35" s="2">
        <v>112.25259956193032</v>
      </c>
      <c r="L35" s="2">
        <v>120.0018755287918</v>
      </c>
    </row>
    <row r="36" spans="1:13">
      <c r="B36" s="6">
        <f t="shared" si="0"/>
        <v>27</v>
      </c>
      <c r="C36" s="2">
        <v>92.468823443135449</v>
      </c>
      <c r="D36" s="2">
        <v>94.970593235445222</v>
      </c>
      <c r="E36" s="2">
        <v>94.382782484649297</v>
      </c>
      <c r="F36" s="2">
        <v>101.18988833908865</v>
      </c>
      <c r="G36" s="2">
        <v>95.077724212580648</v>
      </c>
      <c r="H36" s="2">
        <v>105.82257730977658</v>
      </c>
      <c r="I36" s="2">
        <v>102.77171838478941</v>
      </c>
      <c r="J36" s="2">
        <v>116.44187356065046</v>
      </c>
      <c r="K36" s="2">
        <v>98.447666416054517</v>
      </c>
      <c r="L36" s="2">
        <v>91.184859419736398</v>
      </c>
    </row>
    <row r="37" spans="1:13">
      <c r="B37" s="6">
        <f t="shared" si="0"/>
        <v>28</v>
      </c>
      <c r="C37" s="2">
        <v>92.766622995162521</v>
      </c>
      <c r="D37" s="2">
        <v>107.07511396704659</v>
      </c>
      <c r="E37" s="2">
        <v>94.019272202253703</v>
      </c>
      <c r="F37" s="2">
        <v>111.29371640130447</v>
      </c>
      <c r="G37" s="2">
        <v>146.44976846642015</v>
      </c>
      <c r="H37" s="2">
        <v>111.86155674039718</v>
      </c>
      <c r="I37" s="2">
        <v>112.5452854600528</v>
      </c>
      <c r="J37" s="2">
        <v>119.94761756574147</v>
      </c>
      <c r="K37" s="2">
        <v>121.32516840511482</v>
      </c>
      <c r="L37" s="2">
        <v>113.34682944211431</v>
      </c>
    </row>
    <row r="38" spans="1:13">
      <c r="B38" s="6">
        <f t="shared" si="0"/>
        <v>29</v>
      </c>
      <c r="C38" s="2">
        <v>76.859087981954644</v>
      </c>
      <c r="D38" s="2">
        <v>83.318781488428698</v>
      </c>
      <c r="E38" s="2">
        <v>67.786766266167973</v>
      </c>
      <c r="F38" s="2">
        <v>54.603804163038781</v>
      </c>
      <c r="G38" s="2">
        <v>66.490976001379408</v>
      </c>
      <c r="H38" s="2">
        <v>80.830041037366939</v>
      </c>
      <c r="I38" s="2">
        <v>76.363828047394449</v>
      </c>
      <c r="J38" s="2">
        <v>81.024497641947136</v>
      </c>
      <c r="K38" s="2">
        <v>48.977673268595893</v>
      </c>
      <c r="L38" s="2">
        <v>50.055840781141654</v>
      </c>
    </row>
    <row r="39" spans="1:13">
      <c r="B39" s="6">
        <f t="shared" si="0"/>
        <v>30</v>
      </c>
      <c r="C39" s="2">
        <v>87.305280851503881</v>
      </c>
      <c r="D39" s="2">
        <v>85.48484576790284</v>
      </c>
      <c r="E39" s="2">
        <v>82.823493436440756</v>
      </c>
      <c r="F39" s="2">
        <v>90.371495162196538</v>
      </c>
      <c r="G39" s="2">
        <v>89.675163079806481</v>
      </c>
      <c r="H39" s="2">
        <v>98.094698067991843</v>
      </c>
      <c r="I39" s="2">
        <v>108.58811804492467</v>
      </c>
      <c r="J39" s="2">
        <v>123.26961615487099</v>
      </c>
      <c r="K39" s="2">
        <v>88.389796032851763</v>
      </c>
      <c r="L39" s="2">
        <v>92.862617776772908</v>
      </c>
    </row>
    <row r="43" spans="1:13" ht="15.75">
      <c r="A43" s="15" t="s">
        <v>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21" customFormat="1"/>
    <row r="45" spans="1:13" s="21" customFormat="1"/>
    <row r="46" spans="1:13" s="21" customFormat="1">
      <c r="A46" s="18" t="s">
        <v>447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s="21" customFormat="1"/>
    <row r="48" spans="1:13" s="21" customFormat="1"/>
    <row r="49" spans="1:13" s="21" customFormat="1">
      <c r="C49" s="6" t="s">
        <v>386</v>
      </c>
      <c r="D49" s="6" t="s">
        <v>387</v>
      </c>
      <c r="E49" s="6" t="s">
        <v>388</v>
      </c>
      <c r="F49" s="6" t="s">
        <v>389</v>
      </c>
      <c r="G49" s="6" t="s">
        <v>390</v>
      </c>
      <c r="H49" s="6" t="s">
        <v>391</v>
      </c>
      <c r="I49" s="6" t="s">
        <v>392</v>
      </c>
      <c r="J49" s="6" t="s">
        <v>393</v>
      </c>
      <c r="K49" s="6" t="s">
        <v>394</v>
      </c>
      <c r="L49" s="6" t="s">
        <v>395</v>
      </c>
    </row>
    <row r="50" spans="1:13">
      <c r="B50" s="6" t="s">
        <v>328</v>
      </c>
      <c r="C50" s="8">
        <f t="shared" ref="C50:L50" si="1">AVERAGE(C10:C39)</f>
        <v>94.603801888100222</v>
      </c>
      <c r="D50" s="8">
        <f t="shared" si="1"/>
        <v>93.876134612516907</v>
      </c>
      <c r="E50" s="8">
        <f t="shared" si="1"/>
        <v>93.67390249038236</v>
      </c>
      <c r="F50" s="8">
        <f t="shared" si="1"/>
        <v>92.416756070067819</v>
      </c>
      <c r="G50" s="8">
        <f t="shared" si="1"/>
        <v>96.966844663936556</v>
      </c>
      <c r="H50" s="8">
        <f t="shared" si="1"/>
        <v>99.245886772346111</v>
      </c>
      <c r="I50" s="8">
        <f t="shared" si="1"/>
        <v>99.662357234083871</v>
      </c>
      <c r="J50" s="8">
        <f t="shared" si="1"/>
        <v>97.5083406164796</v>
      </c>
      <c r="K50" s="8">
        <f t="shared" si="1"/>
        <v>92.513126661653629</v>
      </c>
      <c r="L50" s="8">
        <f t="shared" si="1"/>
        <v>91.371373443993022</v>
      </c>
    </row>
    <row r="51" spans="1:13">
      <c r="B51" s="6" t="s">
        <v>396</v>
      </c>
      <c r="C51" s="8">
        <f t="shared" ref="C51:L51" si="2">_xlfn.STDEV.P(C10:C39)</f>
        <v>12.466859887368411</v>
      </c>
      <c r="D51" s="8">
        <f t="shared" si="2"/>
        <v>10.214219995996933</v>
      </c>
      <c r="E51" s="8">
        <f t="shared" si="2"/>
        <v>12.146509463951064</v>
      </c>
      <c r="F51" s="8">
        <f t="shared" si="2"/>
        <v>14.488602982006524</v>
      </c>
      <c r="G51" s="8">
        <f t="shared" si="2"/>
        <v>19.130435501521028</v>
      </c>
      <c r="H51" s="8">
        <f t="shared" si="2"/>
        <v>10.386867999075184</v>
      </c>
      <c r="I51" s="8">
        <f t="shared" si="2"/>
        <v>9.9485291105844951</v>
      </c>
      <c r="J51" s="8">
        <f t="shared" si="2"/>
        <v>13.194398652488283</v>
      </c>
      <c r="K51" s="8">
        <f t="shared" si="2"/>
        <v>15.317766523419973</v>
      </c>
      <c r="L51" s="8">
        <f t="shared" si="2"/>
        <v>17.966215451993243</v>
      </c>
    </row>
    <row r="52" spans="1:13">
      <c r="B52" s="6" t="s">
        <v>397</v>
      </c>
      <c r="C52" s="8">
        <f t="shared" ref="C52:L52" si="3">COUNTA(C10:C39)</f>
        <v>30</v>
      </c>
      <c r="D52" s="8">
        <f t="shared" si="3"/>
        <v>30</v>
      </c>
      <c r="E52" s="8">
        <f t="shared" si="3"/>
        <v>30</v>
      </c>
      <c r="F52" s="8">
        <f t="shared" si="3"/>
        <v>30</v>
      </c>
      <c r="G52" s="8">
        <f t="shared" si="3"/>
        <v>30</v>
      </c>
      <c r="H52" s="8">
        <f t="shared" si="3"/>
        <v>30</v>
      </c>
      <c r="I52" s="8">
        <f t="shared" si="3"/>
        <v>30</v>
      </c>
      <c r="J52" s="8">
        <f t="shared" si="3"/>
        <v>30</v>
      </c>
      <c r="K52" s="8">
        <f t="shared" si="3"/>
        <v>30</v>
      </c>
      <c r="L52" s="8">
        <f t="shared" si="3"/>
        <v>30</v>
      </c>
    </row>
    <row r="56" spans="1:13">
      <c r="A56" s="18" t="s">
        <v>448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s="21" customFormat="1"/>
    <row r="59" spans="1:13">
      <c r="B59" s="6" t="s">
        <v>385</v>
      </c>
      <c r="C59" s="6" t="s">
        <v>386</v>
      </c>
      <c r="D59" s="6" t="s">
        <v>387</v>
      </c>
      <c r="E59" s="6" t="s">
        <v>388</v>
      </c>
      <c r="F59" s="6" t="s">
        <v>389</v>
      </c>
      <c r="G59" s="6" t="s">
        <v>390</v>
      </c>
      <c r="H59" s="6" t="s">
        <v>391</v>
      </c>
      <c r="I59" s="6" t="s">
        <v>392</v>
      </c>
      <c r="J59" s="6" t="s">
        <v>393</v>
      </c>
      <c r="K59" s="6" t="s">
        <v>394</v>
      </c>
      <c r="L59" s="6" t="s">
        <v>395</v>
      </c>
    </row>
    <row r="60" spans="1:13">
      <c r="B60" s="6">
        <v>1</v>
      </c>
      <c r="C60" s="22">
        <f t="shared" ref="C60:L60" si="4">(C10-C$50)/C$51</f>
        <v>0.84400407944544931</v>
      </c>
      <c r="D60" s="22">
        <f t="shared" si="4"/>
        <v>0.76193414829316752</v>
      </c>
      <c r="E60" s="22">
        <f t="shared" si="4"/>
        <v>1.7607062011618011</v>
      </c>
      <c r="F60" s="22">
        <f t="shared" si="4"/>
        <v>0.59228526433869644</v>
      </c>
      <c r="G60" s="22">
        <f t="shared" si="4"/>
        <v>-9.3171239348076834E-2</v>
      </c>
      <c r="H60" s="22">
        <f t="shared" si="4"/>
        <v>9.968202177413435E-2</v>
      </c>
      <c r="I60" s="22">
        <f t="shared" si="4"/>
        <v>0.2014910624755305</v>
      </c>
      <c r="J60" s="22">
        <f t="shared" si="4"/>
        <v>-0.90609159523650573</v>
      </c>
      <c r="K60" s="22">
        <f t="shared" si="4"/>
        <v>0.75216401106677688</v>
      </c>
      <c r="L60" s="22">
        <f t="shared" si="4"/>
        <v>1.052346708149583</v>
      </c>
    </row>
    <row r="61" spans="1:13">
      <c r="B61" s="6">
        <f>B60+1</f>
        <v>2</v>
      </c>
      <c r="C61" s="22">
        <f t="shared" ref="C61:L61" si="5">(C11-C$50)/C$51</f>
        <v>-1.4081159203829821</v>
      </c>
      <c r="D61" s="22">
        <f t="shared" si="5"/>
        <v>-2.0503487857718783</v>
      </c>
      <c r="E61" s="22">
        <f t="shared" si="5"/>
        <v>-1.3327951190632237</v>
      </c>
      <c r="F61" s="22">
        <f t="shared" si="5"/>
        <v>-1.3578301139213242</v>
      </c>
      <c r="G61" s="22">
        <f t="shared" si="5"/>
        <v>-1.8506552867002297</v>
      </c>
      <c r="H61" s="22">
        <f t="shared" si="5"/>
        <v>-0.5191011107859077</v>
      </c>
      <c r="I61" s="22">
        <f t="shared" si="5"/>
        <v>-0.42927227625649372</v>
      </c>
      <c r="J61" s="22">
        <f t="shared" si="5"/>
        <v>-0.67445539875616012</v>
      </c>
      <c r="K61" s="22">
        <f t="shared" si="5"/>
        <v>-1.4622131594494177</v>
      </c>
      <c r="L61" s="22">
        <f t="shared" si="5"/>
        <v>-1.078194402310289</v>
      </c>
    </row>
    <row r="62" spans="1:13">
      <c r="B62" s="6">
        <f t="shared" ref="B62:B89" si="6">B61+1</f>
        <v>3</v>
      </c>
      <c r="C62" s="22">
        <f t="shared" ref="C62:L62" si="7">(C12-C$50)/C$51</f>
        <v>-0.68879411586664929</v>
      </c>
      <c r="D62" s="22">
        <f t="shared" si="7"/>
        <v>-1.1424912573755375</v>
      </c>
      <c r="E62" s="22">
        <f t="shared" si="7"/>
        <v>-1.217223199304319</v>
      </c>
      <c r="F62" s="22">
        <f t="shared" si="7"/>
        <v>-0.99841073052086116</v>
      </c>
      <c r="G62" s="22">
        <f t="shared" si="7"/>
        <v>-0.2750443535072713</v>
      </c>
      <c r="H62" s="22">
        <f t="shared" si="7"/>
        <v>-1.2007954590579357</v>
      </c>
      <c r="I62" s="22">
        <f t="shared" si="7"/>
        <v>0.84511692841100494</v>
      </c>
      <c r="J62" s="22">
        <f t="shared" si="7"/>
        <v>-0.31532616957254855</v>
      </c>
      <c r="K62" s="22">
        <f t="shared" si="7"/>
        <v>-0.42382281654816095</v>
      </c>
      <c r="L62" s="22">
        <f t="shared" si="7"/>
        <v>-1.1512425551826073</v>
      </c>
    </row>
    <row r="63" spans="1:13">
      <c r="B63" s="6">
        <f t="shared" si="6"/>
        <v>4</v>
      </c>
      <c r="C63" s="22">
        <f t="shared" ref="C63:L63" si="8">(C13-C$50)/C$51</f>
        <v>-0.25500385483412091</v>
      </c>
      <c r="D63" s="22">
        <f t="shared" si="8"/>
        <v>1.1973904211755304</v>
      </c>
      <c r="E63" s="22">
        <f t="shared" si="8"/>
        <v>0.16185025339265485</v>
      </c>
      <c r="F63" s="22">
        <f t="shared" si="8"/>
        <v>-0.1046471142299019</v>
      </c>
      <c r="G63" s="22">
        <f t="shared" si="8"/>
        <v>0.75791856280181824</v>
      </c>
      <c r="H63" s="22">
        <f t="shared" si="8"/>
        <v>9.6517237792688962E-2</v>
      </c>
      <c r="I63" s="22">
        <f t="shared" si="8"/>
        <v>-1.3652127493879678</v>
      </c>
      <c r="J63" s="22">
        <f t="shared" si="8"/>
        <v>-0.279382998467824</v>
      </c>
      <c r="K63" s="22">
        <f t="shared" si="8"/>
        <v>0.56867217077151522</v>
      </c>
      <c r="L63" s="22">
        <f t="shared" si="8"/>
        <v>-0.4845706413517793</v>
      </c>
    </row>
    <row r="64" spans="1:13">
      <c r="B64" s="6">
        <f t="shared" si="6"/>
        <v>5</v>
      </c>
      <c r="C64" s="22">
        <f t="shared" ref="C64:L64" si="9">(C14-C$50)/C$51</f>
        <v>1.5329051250213002</v>
      </c>
      <c r="D64" s="22">
        <f t="shared" si="9"/>
        <v>-0.18086687700660309</v>
      </c>
      <c r="E64" s="22">
        <f t="shared" si="9"/>
        <v>0.44498721547714859</v>
      </c>
      <c r="F64" s="22">
        <f t="shared" si="9"/>
        <v>-0.90687365129009545</v>
      </c>
      <c r="G64" s="22">
        <f t="shared" si="9"/>
        <v>7.5756574695847179E-2</v>
      </c>
      <c r="H64" s="22">
        <f t="shared" si="9"/>
        <v>0.45892260904717136</v>
      </c>
      <c r="I64" s="22">
        <f t="shared" si="9"/>
        <v>-1.6476074211644138</v>
      </c>
      <c r="J64" s="22">
        <f t="shared" si="9"/>
        <v>-2.1135377005937483</v>
      </c>
      <c r="K64" s="22">
        <f t="shared" si="9"/>
        <v>-0.63278807809862248</v>
      </c>
      <c r="L64" s="22">
        <f t="shared" si="9"/>
        <v>-1.1882902426628565</v>
      </c>
    </row>
    <row r="65" spans="2:12">
      <c r="B65" s="6">
        <f t="shared" si="6"/>
        <v>6</v>
      </c>
      <c r="C65" s="22">
        <f t="shared" ref="C65:L65" si="10">(C15-C$50)/C$51</f>
        <v>-0.64151337933814678</v>
      </c>
      <c r="D65" s="22">
        <f t="shared" si="10"/>
        <v>-0.59319210674189649</v>
      </c>
      <c r="E65" s="22">
        <f t="shared" si="10"/>
        <v>-2.1414684923826028</v>
      </c>
      <c r="F65" s="22">
        <f t="shared" si="10"/>
        <v>8.5960681846693379E-2</v>
      </c>
      <c r="G65" s="22">
        <f t="shared" si="10"/>
        <v>-0.99162095804286554</v>
      </c>
      <c r="H65" s="22">
        <f t="shared" si="10"/>
        <v>5.5425013875531698E-2</v>
      </c>
      <c r="I65" s="22">
        <f t="shared" si="10"/>
        <v>-0.23994751745766349</v>
      </c>
      <c r="J65" s="22">
        <f t="shared" si="10"/>
        <v>0.84226871263732106</v>
      </c>
      <c r="K65" s="22">
        <f t="shared" si="10"/>
        <v>-7.2697247545889604E-2</v>
      </c>
      <c r="L65" s="22">
        <f t="shared" si="10"/>
        <v>-0.64541621229705415</v>
      </c>
    </row>
    <row r="66" spans="2:12">
      <c r="B66" s="6">
        <f t="shared" si="6"/>
        <v>7</v>
      </c>
      <c r="C66" s="22">
        <f t="shared" ref="C66:L66" si="11">(C16-C$50)/C$51</f>
        <v>3.7123943494534968E-2</v>
      </c>
      <c r="D66" s="22">
        <f t="shared" si="11"/>
        <v>6.156376252197996E-2</v>
      </c>
      <c r="E66" s="22">
        <f t="shared" si="11"/>
        <v>0.36286517803631818</v>
      </c>
      <c r="F66" s="22">
        <f t="shared" si="11"/>
        <v>0.14468975571144452</v>
      </c>
      <c r="G66" s="22">
        <f t="shared" si="11"/>
        <v>2.3788151220761316E-2</v>
      </c>
      <c r="H66" s="22">
        <f t="shared" si="11"/>
        <v>-0.53451146379636882</v>
      </c>
      <c r="I66" s="22">
        <f t="shared" si="11"/>
        <v>-4.8420020023823646E-2</v>
      </c>
      <c r="J66" s="22">
        <f t="shared" si="11"/>
        <v>-8.4123801939420831E-2</v>
      </c>
      <c r="K66" s="22">
        <f t="shared" si="11"/>
        <v>-0.11628764345645114</v>
      </c>
      <c r="L66" s="22">
        <f t="shared" si="11"/>
        <v>-0.25961937150854841</v>
      </c>
    </row>
    <row r="67" spans="2:12">
      <c r="B67" s="6">
        <f t="shared" si="6"/>
        <v>8</v>
      </c>
      <c r="C67" s="22">
        <f t="shared" ref="C67:L67" si="12">(C17-C$50)/C$51</f>
        <v>1.5157208650897576</v>
      </c>
      <c r="D67" s="22">
        <f t="shared" si="12"/>
        <v>1.0505676872280221</v>
      </c>
      <c r="E67" s="22">
        <f t="shared" si="12"/>
        <v>0.97958260417640142</v>
      </c>
      <c r="F67" s="22">
        <f t="shared" si="12"/>
        <v>0.59296952380760726</v>
      </c>
      <c r="G67" s="22">
        <f t="shared" si="12"/>
        <v>0.27745495943399479</v>
      </c>
      <c r="H67" s="22">
        <f t="shared" si="12"/>
        <v>-1.1379163091550637</v>
      </c>
      <c r="I67" s="22">
        <f t="shared" si="12"/>
        <v>-0.30135225894707424</v>
      </c>
      <c r="J67" s="22">
        <f t="shared" si="12"/>
        <v>-0.82847460036260478</v>
      </c>
      <c r="K67" s="22">
        <f t="shared" si="12"/>
        <v>3.5501320031408379E-2</v>
      </c>
      <c r="L67" s="22">
        <f t="shared" si="12"/>
        <v>1.1872740985944139</v>
      </c>
    </row>
    <row r="68" spans="2:12">
      <c r="B68" s="6">
        <f t="shared" si="6"/>
        <v>9</v>
      </c>
      <c r="C68" s="22">
        <f t="shared" ref="C68:L68" si="13">(C18-C$50)/C$51</f>
        <v>0.79772845616996879</v>
      </c>
      <c r="D68" s="22">
        <f t="shared" si="13"/>
        <v>0.33515661577590294</v>
      </c>
      <c r="E68" s="22">
        <f t="shared" si="13"/>
        <v>3.2907016440932024E-2</v>
      </c>
      <c r="F68" s="22">
        <f t="shared" si="13"/>
        <v>-0.26768643109763807</v>
      </c>
      <c r="G68" s="22">
        <f t="shared" si="13"/>
        <v>5.9860535372863163E-2</v>
      </c>
      <c r="H68" s="22">
        <f t="shared" si="13"/>
        <v>-0.1406086834759552</v>
      </c>
      <c r="I68" s="22">
        <f t="shared" si="13"/>
        <v>-7.7485537531623494E-3</v>
      </c>
      <c r="J68" s="22">
        <f t="shared" si="13"/>
        <v>0.17072894773302646</v>
      </c>
      <c r="K68" s="22">
        <f t="shared" si="13"/>
        <v>0.44952182619781789</v>
      </c>
      <c r="L68" s="22">
        <f t="shared" si="13"/>
        <v>0.80911822346682538</v>
      </c>
    </row>
    <row r="69" spans="2:12">
      <c r="B69" s="6">
        <f t="shared" si="6"/>
        <v>10</v>
      </c>
      <c r="C69" s="22">
        <f t="shared" ref="C69:L69" si="14">(C19-C$50)/C$51</f>
        <v>0.80465297615591391</v>
      </c>
      <c r="D69" s="22">
        <f t="shared" si="14"/>
        <v>0.39477585940873089</v>
      </c>
      <c r="E69" s="22">
        <f t="shared" si="14"/>
        <v>-0.64637514702429277</v>
      </c>
      <c r="F69" s="22">
        <f t="shared" si="14"/>
        <v>-0.68542989075229077</v>
      </c>
      <c r="G69" s="22">
        <f t="shared" si="14"/>
        <v>-0.34081172816302052</v>
      </c>
      <c r="H69" s="22">
        <f t="shared" si="14"/>
        <v>0.52395570807860947</v>
      </c>
      <c r="I69" s="22">
        <f t="shared" si="14"/>
        <v>-0.46098831719390709</v>
      </c>
      <c r="J69" s="22">
        <f t="shared" si="14"/>
        <v>0.16570606577492364</v>
      </c>
      <c r="K69" s="22">
        <f t="shared" si="14"/>
        <v>-0.97164811472061108</v>
      </c>
      <c r="L69" s="22">
        <f t="shared" si="14"/>
        <v>-1.6330752830115958</v>
      </c>
    </row>
    <row r="70" spans="2:12">
      <c r="B70" s="6">
        <f t="shared" si="6"/>
        <v>11</v>
      </c>
      <c r="C70" s="22">
        <f t="shared" ref="C70:L70" si="15">(C20-C$50)/C$51</f>
        <v>0.5983937233852421</v>
      </c>
      <c r="D70" s="22">
        <f t="shared" si="15"/>
        <v>-0.67219038031657041</v>
      </c>
      <c r="E70" s="22">
        <f t="shared" si="15"/>
        <v>8.3437578551980571E-2</v>
      </c>
      <c r="F70" s="22">
        <f t="shared" si="15"/>
        <v>-0.91204145726504282</v>
      </c>
      <c r="G70" s="22">
        <f t="shared" si="15"/>
        <v>-1.4889833031185005</v>
      </c>
      <c r="H70" s="22">
        <f t="shared" si="15"/>
        <v>-1.9496350734359116</v>
      </c>
      <c r="I70" s="22">
        <f t="shared" si="15"/>
        <v>-1.3300990194612343</v>
      </c>
      <c r="J70" s="22">
        <f t="shared" si="15"/>
        <v>-1.4162546802765326</v>
      </c>
      <c r="K70" s="22">
        <f t="shared" si="15"/>
        <v>-0.18173156486381997</v>
      </c>
      <c r="L70" s="22">
        <f t="shared" si="15"/>
        <v>-0.2125510777586998</v>
      </c>
    </row>
    <row r="71" spans="2:12">
      <c r="B71" s="6">
        <f t="shared" si="6"/>
        <v>12</v>
      </c>
      <c r="C71" s="22">
        <f t="shared" ref="C71:L71" si="16">(C21-C$50)/C$51</f>
        <v>1.1890775996709801</v>
      </c>
      <c r="D71" s="22">
        <f t="shared" si="16"/>
        <v>0.10386315394863883</v>
      </c>
      <c r="E71" s="22">
        <f t="shared" si="16"/>
        <v>0.88270387354946933</v>
      </c>
      <c r="F71" s="22">
        <f t="shared" si="16"/>
        <v>1.8549880830345298</v>
      </c>
      <c r="G71" s="22">
        <f t="shared" si="16"/>
        <v>0.83748101815994314</v>
      </c>
      <c r="H71" s="22">
        <f t="shared" si="16"/>
        <v>2.2802979017238241</v>
      </c>
      <c r="I71" s="22">
        <f t="shared" si="16"/>
        <v>1.5232095392140785</v>
      </c>
      <c r="J71" s="22">
        <f t="shared" si="16"/>
        <v>0.34871398392440162</v>
      </c>
      <c r="K71" s="22">
        <f t="shared" si="16"/>
        <v>1.555421468642523</v>
      </c>
      <c r="L71" s="22">
        <f t="shared" si="16"/>
        <v>0.55614123183448416</v>
      </c>
    </row>
    <row r="72" spans="2:12">
      <c r="B72" s="6">
        <f t="shared" si="6"/>
        <v>13</v>
      </c>
      <c r="C72" s="22">
        <f t="shared" ref="C72:L72" si="17">(C22-C$50)/C$51</f>
        <v>-0.36978674270982981</v>
      </c>
      <c r="D72" s="22">
        <f t="shared" si="17"/>
        <v>-1.6138554110328618</v>
      </c>
      <c r="E72" s="22">
        <f t="shared" si="17"/>
        <v>0.58427297992695371</v>
      </c>
      <c r="F72" s="22">
        <f t="shared" si="17"/>
        <v>0.3181270530017985</v>
      </c>
      <c r="G72" s="22">
        <f t="shared" si="17"/>
        <v>0.73913435692265961</v>
      </c>
      <c r="H72" s="22">
        <f t="shared" si="17"/>
        <v>0.81009763323107087</v>
      </c>
      <c r="I72" s="22">
        <f t="shared" si="17"/>
        <v>1.7284911750876364</v>
      </c>
      <c r="J72" s="22">
        <f t="shared" si="17"/>
        <v>1.3051935071366483</v>
      </c>
      <c r="K72" s="22">
        <f t="shared" si="17"/>
        <v>-0.24798137601936526</v>
      </c>
      <c r="L72" s="22">
        <f t="shared" si="17"/>
        <v>-0.82799308918633829</v>
      </c>
    </row>
    <row r="73" spans="2:12">
      <c r="B73" s="6">
        <f t="shared" si="6"/>
        <v>14</v>
      </c>
      <c r="C73" s="22">
        <f t="shared" ref="C73:L73" si="18">(C23-C$50)/C$51</f>
        <v>-0.37061193479575488</v>
      </c>
      <c r="D73" s="22">
        <f t="shared" si="18"/>
        <v>-0.25624902743721711</v>
      </c>
      <c r="E73" s="22">
        <f t="shared" si="18"/>
        <v>-0.36701405303552237</v>
      </c>
      <c r="F73" s="22">
        <f t="shared" si="18"/>
        <v>-0.77071083305936416</v>
      </c>
      <c r="G73" s="22">
        <f t="shared" si="18"/>
        <v>0.18569580052158485</v>
      </c>
      <c r="H73" s="22">
        <f t="shared" si="18"/>
        <v>-0.41822072382895714</v>
      </c>
      <c r="I73" s="22">
        <f t="shared" si="18"/>
        <v>-0.2954287504198681</v>
      </c>
      <c r="J73" s="22">
        <f t="shared" si="18"/>
        <v>-0.23472379262989651</v>
      </c>
      <c r="K73" s="22">
        <f t="shared" si="18"/>
        <v>-0.26730987255813471</v>
      </c>
      <c r="L73" s="22">
        <f t="shared" si="18"/>
        <v>-9.4675660948632029E-2</v>
      </c>
    </row>
    <row r="74" spans="2:12">
      <c r="B74" s="6">
        <f t="shared" si="6"/>
        <v>15</v>
      </c>
      <c r="C74" s="22">
        <f t="shared" ref="C74:L74" si="19">(C24-C$50)/C$51</f>
        <v>0.18788007031884416</v>
      </c>
      <c r="D74" s="22">
        <f t="shared" si="19"/>
        <v>0.89748718828132934</v>
      </c>
      <c r="E74" s="22">
        <f t="shared" si="19"/>
        <v>0.31443033026278283</v>
      </c>
      <c r="F74" s="22">
        <f t="shared" si="19"/>
        <v>0.42091854880297402</v>
      </c>
      <c r="G74" s="22">
        <f t="shared" si="19"/>
        <v>-7.0083893886783545E-3</v>
      </c>
      <c r="H74" s="22">
        <f t="shared" si="19"/>
        <v>-0.62266158561894469</v>
      </c>
      <c r="I74" s="22">
        <f t="shared" si="19"/>
        <v>1.0463941337426987</v>
      </c>
      <c r="J74" s="22">
        <f t="shared" si="19"/>
        <v>-0.17785523276549026</v>
      </c>
      <c r="K74" s="22">
        <f t="shared" si="19"/>
        <v>0.64339282039962575</v>
      </c>
      <c r="L74" s="22">
        <f t="shared" si="19"/>
        <v>0.78736796830225453</v>
      </c>
    </row>
    <row r="75" spans="2:12">
      <c r="B75" s="6">
        <f t="shared" si="6"/>
        <v>16</v>
      </c>
      <c r="C75" s="22">
        <f t="shared" ref="C75:L75" si="20">(C25-C$50)/C$51</f>
        <v>-0.11179279837275648</v>
      </c>
      <c r="D75" s="22">
        <f t="shared" si="20"/>
        <v>-3.2911696601742547E-3</v>
      </c>
      <c r="E75" s="22">
        <f t="shared" si="20"/>
        <v>-0.52102197691720786</v>
      </c>
      <c r="F75" s="22">
        <f t="shared" si="20"/>
        <v>0.81713365918457215</v>
      </c>
      <c r="G75" s="22">
        <f t="shared" si="20"/>
        <v>0.95954476830887114</v>
      </c>
      <c r="H75" s="22">
        <f t="shared" si="20"/>
        <v>1.44795453062513</v>
      </c>
      <c r="I75" s="22">
        <f t="shared" si="20"/>
        <v>1.2016889158551929</v>
      </c>
      <c r="J75" s="22">
        <f t="shared" si="20"/>
        <v>1.0569856447614936</v>
      </c>
      <c r="K75" s="22">
        <f t="shared" si="20"/>
        <v>0.20809670802404681</v>
      </c>
      <c r="L75" s="22">
        <f t="shared" si="20"/>
        <v>0.79884738732009852</v>
      </c>
    </row>
    <row r="76" spans="2:12">
      <c r="B76" s="6">
        <f t="shared" si="6"/>
        <v>17</v>
      </c>
      <c r="C76" s="22">
        <f t="shared" ref="C76:L76" si="21">(C26-C$50)/C$51</f>
        <v>-1.9009333871638796</v>
      </c>
      <c r="D76" s="22">
        <f t="shared" si="21"/>
        <v>-2.7386420983510735</v>
      </c>
      <c r="E76" s="22">
        <f t="shared" si="21"/>
        <v>-1.6007291984711787</v>
      </c>
      <c r="F76" s="22">
        <f t="shared" si="21"/>
        <v>-2.2299725481487682</v>
      </c>
      <c r="G76" s="22">
        <f t="shared" si="21"/>
        <v>-2.6073063841188717</v>
      </c>
      <c r="H76" s="22">
        <f t="shared" si="21"/>
        <v>-1.8716275159583422</v>
      </c>
      <c r="I76" s="22">
        <f t="shared" si="21"/>
        <v>-0.4888999901447198</v>
      </c>
      <c r="J76" s="22">
        <f t="shared" si="21"/>
        <v>-0.69394108730184667</v>
      </c>
      <c r="K76" s="22">
        <f t="shared" si="21"/>
        <v>-2.4713004108282091</v>
      </c>
      <c r="L76" s="22">
        <f t="shared" si="21"/>
        <v>-1.8443700914330545</v>
      </c>
    </row>
    <row r="77" spans="2:12">
      <c r="B77" s="6">
        <f t="shared" si="6"/>
        <v>18</v>
      </c>
      <c r="C77" s="22">
        <f t="shared" ref="C77:L77" si="22">(C27-C$50)/C$51</f>
        <v>1.6243162307594987</v>
      </c>
      <c r="D77" s="22">
        <f t="shared" si="22"/>
        <v>0.41184557693971091</v>
      </c>
      <c r="E77" s="22">
        <f t="shared" si="22"/>
        <v>0.98462256266145887</v>
      </c>
      <c r="F77" s="22">
        <f t="shared" si="22"/>
        <v>-0.15043650859995827</v>
      </c>
      <c r="G77" s="22">
        <f t="shared" si="22"/>
        <v>0.21140044796681956</v>
      </c>
      <c r="H77" s="22">
        <f t="shared" si="22"/>
        <v>-2.8374049443836393E-2</v>
      </c>
      <c r="I77" s="22">
        <f t="shared" si="22"/>
        <v>-1.1801990784629177</v>
      </c>
      <c r="J77" s="22">
        <f t="shared" si="22"/>
        <v>-0.65141259392811157</v>
      </c>
      <c r="K77" s="22">
        <f t="shared" si="22"/>
        <v>-7.9403630241982562E-2</v>
      </c>
      <c r="L77" s="22">
        <f t="shared" si="22"/>
        <v>4.744262325710303E-2</v>
      </c>
    </row>
    <row r="78" spans="2:12">
      <c r="B78" s="6">
        <f t="shared" si="6"/>
        <v>19</v>
      </c>
      <c r="C78" s="22">
        <f t="shared" ref="C78:L78" si="23">(C28-C$50)/C$51</f>
        <v>0.45807224697634291</v>
      </c>
      <c r="D78" s="22">
        <f t="shared" si="23"/>
        <v>-0.13292130256899176</v>
      </c>
      <c r="E78" s="22">
        <f t="shared" si="23"/>
        <v>-0.49932928691024359</v>
      </c>
      <c r="F78" s="22">
        <f t="shared" si="23"/>
        <v>0.74928962824335066</v>
      </c>
      <c r="G78" s="22">
        <f t="shared" si="23"/>
        <v>-0.43488862562906228</v>
      </c>
      <c r="H78" s="22">
        <f t="shared" si="23"/>
        <v>0.8813960874221155</v>
      </c>
      <c r="I78" s="22">
        <f t="shared" si="23"/>
        <v>0.39228093072580394</v>
      </c>
      <c r="J78" s="22">
        <f t="shared" si="23"/>
        <v>-1.1385244244389099</v>
      </c>
      <c r="K78" s="22">
        <f t="shared" si="23"/>
        <v>0.6406178069981473</v>
      </c>
      <c r="L78" s="22">
        <f t="shared" si="23"/>
        <v>0.34519249904590449</v>
      </c>
    </row>
    <row r="79" spans="2:12">
      <c r="B79" s="6">
        <f t="shared" si="6"/>
        <v>20</v>
      </c>
      <c r="C79" s="22">
        <f t="shared" ref="C79:L79" si="24">(C29-C$50)/C$51</f>
        <v>1.3436929835326135</v>
      </c>
      <c r="D79" s="22">
        <f t="shared" si="24"/>
        <v>1.0276658640640133</v>
      </c>
      <c r="E79" s="22">
        <f t="shared" si="24"/>
        <v>0.67328901719892154</v>
      </c>
      <c r="F79" s="22">
        <f t="shared" si="24"/>
        <v>1.0812955865510891</v>
      </c>
      <c r="G79" s="22">
        <f t="shared" si="24"/>
        <v>1.3024858472196224</v>
      </c>
      <c r="H79" s="22">
        <f t="shared" si="24"/>
        <v>6.8141826788959969E-2</v>
      </c>
      <c r="I79" s="22">
        <f t="shared" si="24"/>
        <v>-0.29899662882514916</v>
      </c>
      <c r="J79" s="22">
        <f t="shared" si="24"/>
        <v>-0.61688399191609089</v>
      </c>
      <c r="K79" s="22">
        <f t="shared" si="24"/>
        <v>0.62900442139431101</v>
      </c>
      <c r="L79" s="22">
        <f t="shared" si="24"/>
        <v>1.2846084059766896</v>
      </c>
    </row>
    <row r="80" spans="2:12">
      <c r="B80" s="6">
        <f t="shared" si="6"/>
        <v>21</v>
      </c>
      <c r="C80" s="22">
        <f t="shared" ref="C80:L80" si="25">(C30-C$50)/C$51</f>
        <v>1.1385296038278385</v>
      </c>
      <c r="D80" s="22">
        <f t="shared" si="25"/>
        <v>0.39157246997515832</v>
      </c>
      <c r="E80" s="22">
        <f t="shared" si="25"/>
        <v>-0.1825007359541278</v>
      </c>
      <c r="F80" s="22">
        <f t="shared" si="25"/>
        <v>0.4924551560508329</v>
      </c>
      <c r="G80" s="22">
        <f t="shared" si="25"/>
        <v>0.7066938752423696</v>
      </c>
      <c r="H80" s="22">
        <f t="shared" si="25"/>
        <v>0.49384477792072201</v>
      </c>
      <c r="I80" s="22">
        <f t="shared" si="25"/>
        <v>-0.46584001362334021</v>
      </c>
      <c r="J80" s="22">
        <f t="shared" si="25"/>
        <v>-0.90947466598837701</v>
      </c>
      <c r="K80" s="22">
        <f t="shared" si="25"/>
        <v>0.13189769635823256</v>
      </c>
      <c r="L80" s="22">
        <f t="shared" si="25"/>
        <v>2.3944402439694212E-2</v>
      </c>
    </row>
    <row r="81" spans="2:12">
      <c r="B81" s="6">
        <f t="shared" si="6"/>
        <v>22</v>
      </c>
      <c r="C81" s="22">
        <f t="shared" ref="C81:L81" si="26">(C31-C$50)/C$51</f>
        <v>-1.5947123805961028</v>
      </c>
      <c r="D81" s="22">
        <f t="shared" si="26"/>
        <v>1.1492800881623324</v>
      </c>
      <c r="E81" s="22">
        <f t="shared" si="26"/>
        <v>0.70570307554288358</v>
      </c>
      <c r="F81" s="22">
        <f t="shared" si="26"/>
        <v>-0.15512803033624811</v>
      </c>
      <c r="G81" s="22">
        <f t="shared" si="26"/>
        <v>-0.18007055233710409</v>
      </c>
      <c r="H81" s="22">
        <f t="shared" si="26"/>
        <v>-1.2749541918338345</v>
      </c>
      <c r="I81" s="22">
        <f t="shared" si="26"/>
        <v>-0.53820242968798215</v>
      </c>
      <c r="J81" s="22">
        <f t="shared" si="26"/>
        <v>0.66123993650618074</v>
      </c>
      <c r="K81" s="22">
        <f t="shared" si="26"/>
        <v>-0.47025789682830976</v>
      </c>
      <c r="L81" s="22">
        <f t="shared" si="26"/>
        <v>-0.20586457601568403</v>
      </c>
    </row>
    <row r="82" spans="2:12">
      <c r="B82" s="6">
        <f t="shared" si="6"/>
        <v>23</v>
      </c>
      <c r="C82" s="22">
        <f t="shared" ref="C82:L82" si="27">(C32-C$50)/C$51</f>
        <v>-5.8180050817356686E-2</v>
      </c>
      <c r="D82" s="22">
        <f t="shared" si="27"/>
        <v>-0.32269795357500186</v>
      </c>
      <c r="E82" s="22">
        <f t="shared" si="27"/>
        <v>0.14918231395366352</v>
      </c>
      <c r="F82" s="22">
        <f t="shared" si="27"/>
        <v>-0.43850999038773036</v>
      </c>
      <c r="G82" s="22">
        <f t="shared" si="27"/>
        <v>-0.23639591140818025</v>
      </c>
      <c r="H82" s="22">
        <f t="shared" si="27"/>
        <v>0.82680171458271867</v>
      </c>
      <c r="I82" s="22">
        <f t="shared" si="27"/>
        <v>-0.19347400501608544</v>
      </c>
      <c r="J82" s="22">
        <f t="shared" si="27"/>
        <v>0.58483344893089562</v>
      </c>
      <c r="K82" s="22">
        <f t="shared" si="27"/>
        <v>-0.33688520773072678</v>
      </c>
      <c r="L82" s="22">
        <f t="shared" si="27"/>
        <v>-0.12261641554013743</v>
      </c>
    </row>
    <row r="83" spans="2:12">
      <c r="B83" s="6">
        <f t="shared" si="6"/>
        <v>24</v>
      </c>
      <c r="C83" s="22">
        <f t="shared" ref="C83:L83" si="28">(C33-C$50)/C$51</f>
        <v>-1.3369738374886777</v>
      </c>
      <c r="D83" s="22">
        <f t="shared" si="28"/>
        <v>0.10873041762373077</v>
      </c>
      <c r="E83" s="22">
        <f t="shared" si="28"/>
        <v>0.40437206855977142</v>
      </c>
      <c r="F83" s="22">
        <f t="shared" si="28"/>
        <v>0.54580785959772649</v>
      </c>
      <c r="G83" s="22">
        <f t="shared" si="28"/>
        <v>0.20589615767794217</v>
      </c>
      <c r="H83" s="22">
        <f t="shared" si="28"/>
        <v>-0.26836146263225441</v>
      </c>
      <c r="I83" s="22">
        <f t="shared" si="28"/>
        <v>-0.42779153271417741</v>
      </c>
      <c r="J83" s="22">
        <f t="shared" si="28"/>
        <v>-0.18165945981021914</v>
      </c>
      <c r="K83" s="22">
        <f t="shared" si="28"/>
        <v>0.76133996302307294</v>
      </c>
      <c r="L83" s="22">
        <f t="shared" si="28"/>
        <v>1.3623054638469694</v>
      </c>
    </row>
    <row r="84" spans="2:12">
      <c r="B84" s="6">
        <f t="shared" si="6"/>
        <v>25</v>
      </c>
      <c r="C84" s="22">
        <f t="shared" ref="C84:L84" si="29">(C34-C$50)/C$51</f>
        <v>-1.3707466943339714</v>
      </c>
      <c r="D84" s="22">
        <f t="shared" si="29"/>
        <v>0.66535851032746529</v>
      </c>
      <c r="E84" s="22">
        <f t="shared" si="29"/>
        <v>0.7102155570951183</v>
      </c>
      <c r="F84" s="22">
        <f t="shared" si="29"/>
        <v>0.51154774258653779</v>
      </c>
      <c r="G84" s="22">
        <f t="shared" si="29"/>
        <v>0.50198245695373511</v>
      </c>
      <c r="H84" s="22">
        <f t="shared" si="29"/>
        <v>0.94880835398816021</v>
      </c>
      <c r="I84" s="22">
        <f t="shared" si="29"/>
        <v>1.7105809101416853</v>
      </c>
      <c r="J84" s="22">
        <f t="shared" si="29"/>
        <v>0.61741433126685874</v>
      </c>
      <c r="K84" s="22">
        <f t="shared" si="29"/>
        <v>0.91298754635608936</v>
      </c>
      <c r="L84" s="22">
        <f t="shared" si="29"/>
        <v>0.90416397495646161</v>
      </c>
    </row>
    <row r="85" spans="2:12">
      <c r="B85" s="6">
        <f t="shared" si="6"/>
        <v>26</v>
      </c>
      <c r="C85" s="22">
        <f t="shared" ref="C85:L85" si="30">(C35-C$50)/C$51</f>
        <v>0.36246900395621995</v>
      </c>
      <c r="D85" s="22">
        <f t="shared" si="30"/>
        <v>1.6053117753398101</v>
      </c>
      <c r="E85" s="22">
        <f t="shared" si="30"/>
        <v>2.2110701124519392</v>
      </c>
      <c r="F85" s="22">
        <f t="shared" si="30"/>
        <v>1.6128103679111101</v>
      </c>
      <c r="G85" s="22">
        <f t="shared" si="30"/>
        <v>1.1472181899243494</v>
      </c>
      <c r="H85" s="22">
        <f t="shared" si="30"/>
        <v>1.0109940996639619</v>
      </c>
      <c r="I85" s="22">
        <f t="shared" si="30"/>
        <v>0.90743697222255137</v>
      </c>
      <c r="J85" s="22">
        <f t="shared" si="30"/>
        <v>1.6302690748652602</v>
      </c>
      <c r="K85" s="22">
        <f t="shared" si="30"/>
        <v>1.2886652156563549</v>
      </c>
      <c r="L85" s="22">
        <f t="shared" si="30"/>
        <v>1.5935744598689201</v>
      </c>
    </row>
    <row r="86" spans="2:12">
      <c r="B86" s="6">
        <f t="shared" si="6"/>
        <v>27</v>
      </c>
      <c r="C86" s="22">
        <f t="shared" ref="C86:L86" si="31">(C36-C$50)/C$51</f>
        <v>-0.17125230124130628</v>
      </c>
      <c r="D86" s="22">
        <f t="shared" si="31"/>
        <v>0.10715048465347772</v>
      </c>
      <c r="E86" s="22">
        <f t="shared" si="31"/>
        <v>5.8360798743933927E-2</v>
      </c>
      <c r="F86" s="22">
        <f t="shared" si="31"/>
        <v>0.60551954387294871</v>
      </c>
      <c r="G86" s="22">
        <f t="shared" si="31"/>
        <v>-9.8749474428102113E-2</v>
      </c>
      <c r="H86" s="22">
        <f t="shared" si="31"/>
        <v>0.63317359361994729</v>
      </c>
      <c r="I86" s="22">
        <f t="shared" si="31"/>
        <v>0.31254481101104781</v>
      </c>
      <c r="J86" s="22">
        <f t="shared" si="31"/>
        <v>1.4349674769452458</v>
      </c>
      <c r="K86" s="22">
        <f t="shared" si="31"/>
        <v>0.38742852917410131</v>
      </c>
      <c r="L86" s="22">
        <f t="shared" si="31"/>
        <v>-1.0381375240378268E-2</v>
      </c>
    </row>
    <row r="87" spans="2:12">
      <c r="B87" s="6">
        <f t="shared" si="6"/>
        <v>28</v>
      </c>
      <c r="C87" s="22">
        <f t="shared" ref="C87:L87" si="32">(C37-C$50)/C$51</f>
        <v>-0.14736500686906367</v>
      </c>
      <c r="D87" s="22">
        <f t="shared" si="32"/>
        <v>1.2922160830393814</v>
      </c>
      <c r="E87" s="22">
        <f t="shared" si="32"/>
        <v>2.8433659307338072E-2</v>
      </c>
      <c r="F87" s="22">
        <f t="shared" si="32"/>
        <v>1.3028834011588313</v>
      </c>
      <c r="G87" s="22">
        <f t="shared" si="32"/>
        <v>2.5866072833809399</v>
      </c>
      <c r="H87" s="22">
        <f t="shared" si="32"/>
        <v>1.2145788286877552</v>
      </c>
      <c r="I87" s="22">
        <f t="shared" si="32"/>
        <v>1.2949580870465009</v>
      </c>
      <c r="J87" s="22">
        <f t="shared" si="32"/>
        <v>1.7006668920853112</v>
      </c>
      <c r="K87" s="22">
        <f t="shared" si="32"/>
        <v>1.8809557972703959</v>
      </c>
      <c r="L87" s="22">
        <f t="shared" si="32"/>
        <v>1.2231544287577407</v>
      </c>
    </row>
    <row r="88" spans="2:12">
      <c r="B88" s="6">
        <f t="shared" si="6"/>
        <v>29</v>
      </c>
      <c r="C88" s="22">
        <f t="shared" ref="C88:L88" si="33">(C38-C$50)/C$51</f>
        <v>-1.4233507127263665</v>
      </c>
      <c r="D88" s="22">
        <f t="shared" si="33"/>
        <v>-1.0335936692401138</v>
      </c>
      <c r="E88" s="22">
        <f t="shared" si="33"/>
        <v>-2.1312407734125882</v>
      </c>
      <c r="F88" s="22">
        <f t="shared" si="33"/>
        <v>-2.609841125054579</v>
      </c>
      <c r="G88" s="22">
        <f t="shared" si="33"/>
        <v>-1.5930567111310177</v>
      </c>
      <c r="H88" s="22">
        <f t="shared" si="33"/>
        <v>-1.7729931425545087</v>
      </c>
      <c r="I88" s="22">
        <f t="shared" si="33"/>
        <v>-2.3419069218887363</v>
      </c>
      <c r="J88" s="22">
        <f t="shared" si="33"/>
        <v>-1.2493061191101602</v>
      </c>
      <c r="K88" s="22">
        <f t="shared" si="33"/>
        <v>-2.8421541304010973</v>
      </c>
      <c r="L88" s="22">
        <f t="shared" si="33"/>
        <v>-2.299623578112421</v>
      </c>
    </row>
    <row r="89" spans="2:12">
      <c r="B89" s="6">
        <f t="shared" si="6"/>
        <v>30</v>
      </c>
      <c r="C89" s="22">
        <f t="shared" ref="C89:L89" si="34">(C39-C$50)/C$51</f>
        <v>-0.58543379026753162</v>
      </c>
      <c r="D89" s="22">
        <f t="shared" si="34"/>
        <v>-0.82153006768042069</v>
      </c>
      <c r="E89" s="22">
        <f t="shared" si="34"/>
        <v>-0.89329441401613496</v>
      </c>
      <c r="F89" s="22">
        <f t="shared" si="34"/>
        <v>-0.14116343103688478</v>
      </c>
      <c r="G89" s="22">
        <f t="shared" si="34"/>
        <v>-0.38115606848314171</v>
      </c>
      <c r="H89" s="22">
        <f t="shared" si="34"/>
        <v>-0.1108311672447139</v>
      </c>
      <c r="I89" s="22">
        <f t="shared" si="34"/>
        <v>0.89719401849510128</v>
      </c>
      <c r="J89" s="22">
        <f t="shared" si="34"/>
        <v>1.9524402905268565</v>
      </c>
      <c r="K89" s="22">
        <f t="shared" si="34"/>
        <v>-0.26918615207364172</v>
      </c>
      <c r="L89" s="22">
        <f t="shared" si="34"/>
        <v>8.3002696742927068E-2</v>
      </c>
    </row>
    <row r="91" spans="2:12">
      <c r="C91" s="6" t="s">
        <v>386</v>
      </c>
      <c r="D91" s="6" t="s">
        <v>387</v>
      </c>
      <c r="E91" s="6" t="s">
        <v>388</v>
      </c>
      <c r="F91" s="6" t="s">
        <v>389</v>
      </c>
      <c r="G91" s="6" t="s">
        <v>390</v>
      </c>
      <c r="H91" s="6" t="s">
        <v>391</v>
      </c>
      <c r="I91" s="6" t="s">
        <v>392</v>
      </c>
      <c r="J91" s="6" t="s">
        <v>393</v>
      </c>
      <c r="K91" s="6" t="s">
        <v>394</v>
      </c>
      <c r="L91" s="6" t="s">
        <v>395</v>
      </c>
    </row>
    <row r="92" spans="2:12">
      <c r="B92" s="6" t="s">
        <v>328</v>
      </c>
      <c r="C92" s="133">
        <f>AVERAGE(C60:C89)</f>
        <v>2.6275278249462038E-16</v>
      </c>
      <c r="D92" s="133">
        <f t="shared" ref="D92:L92" si="35">AVERAGE(D60:D89)</f>
        <v>1.3840780373660285E-15</v>
      </c>
      <c r="E92" s="133">
        <f t="shared" si="35"/>
        <v>9.9920072216264089E-16</v>
      </c>
      <c r="F92" s="133">
        <f t="shared" si="35"/>
        <v>1.8577731945394287E-15</v>
      </c>
      <c r="G92" s="133">
        <f t="shared" si="35"/>
        <v>-5.3660779523549233E-17</v>
      </c>
      <c r="H92" s="133">
        <f t="shared" si="35"/>
        <v>-1.114848953894428E-15</v>
      </c>
      <c r="I92" s="133">
        <f t="shared" si="35"/>
        <v>3.8783790993572131E-15</v>
      </c>
      <c r="J92" s="133">
        <f t="shared" si="35"/>
        <v>-8.5117098554595338E-16</v>
      </c>
      <c r="K92" s="133">
        <f t="shared" si="35"/>
        <v>-6.846375318521799E-16</v>
      </c>
      <c r="L92" s="133">
        <f t="shared" si="35"/>
        <v>-2.1741867565575981E-16</v>
      </c>
    </row>
    <row r="93" spans="2:12">
      <c r="B93" s="6" t="s">
        <v>396</v>
      </c>
      <c r="C93" s="133">
        <f>_xlfn.STDEV.P(C60:C89)</f>
        <v>1.0000000000000002</v>
      </c>
      <c r="D93" s="133">
        <f t="shared" ref="D93:L93" si="36">_xlfn.STDEV.P(D60:D89)</f>
        <v>0.99999999999998712</v>
      </c>
      <c r="E93" s="133">
        <f t="shared" si="36"/>
        <v>0.99999999999999911</v>
      </c>
      <c r="F93" s="133">
        <f t="shared" si="36"/>
        <v>0.99999999999999134</v>
      </c>
      <c r="G93" s="133">
        <f t="shared" si="36"/>
        <v>1.0000000000000013</v>
      </c>
      <c r="H93" s="133">
        <f t="shared" si="36"/>
        <v>1.0000000000000078</v>
      </c>
      <c r="I93" s="133">
        <f t="shared" si="36"/>
        <v>1</v>
      </c>
      <c r="J93" s="133">
        <f t="shared" si="36"/>
        <v>1.0000000000000042</v>
      </c>
      <c r="K93" s="133">
        <f t="shared" si="36"/>
        <v>1.0000000000000009</v>
      </c>
      <c r="L93" s="133">
        <f t="shared" si="36"/>
        <v>1.0000000000000027</v>
      </c>
    </row>
    <row r="94" spans="2:12">
      <c r="B94" s="6" t="s">
        <v>397</v>
      </c>
      <c r="C94" s="22">
        <f>COUNTA(C60:C89)</f>
        <v>30</v>
      </c>
      <c r="D94" s="22">
        <f t="shared" ref="D94:L94" si="37">COUNTA(D60:D89)</f>
        <v>30</v>
      </c>
      <c r="E94" s="22">
        <f t="shared" si="37"/>
        <v>30</v>
      </c>
      <c r="F94" s="22">
        <f t="shared" si="37"/>
        <v>30</v>
      </c>
      <c r="G94" s="22">
        <f t="shared" si="37"/>
        <v>30</v>
      </c>
      <c r="H94" s="22">
        <f t="shared" si="37"/>
        <v>30</v>
      </c>
      <c r="I94" s="22">
        <f t="shared" si="37"/>
        <v>30</v>
      </c>
      <c r="J94" s="22">
        <f t="shared" si="37"/>
        <v>30</v>
      </c>
      <c r="K94" s="22">
        <f t="shared" si="37"/>
        <v>30</v>
      </c>
      <c r="L94" s="22">
        <f t="shared" si="37"/>
        <v>30</v>
      </c>
    </row>
    <row r="98" spans="1:13" ht="14.25">
      <c r="A98" s="24" t="s">
        <v>450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s="21" customFormat="1">
      <c r="A99" s="132" t="s">
        <v>449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</row>
    <row r="100" spans="1:13">
      <c r="B100" s="9"/>
    </row>
    <row r="101" spans="1:13">
      <c r="B101" s="99"/>
    </row>
    <row r="102" spans="1:13">
      <c r="C102" s="6" t="s">
        <v>386</v>
      </c>
      <c r="D102" s="6" t="s">
        <v>387</v>
      </c>
      <c r="E102" s="6" t="s">
        <v>388</v>
      </c>
      <c r="F102" s="6" t="s">
        <v>389</v>
      </c>
      <c r="G102" s="6" t="s">
        <v>390</v>
      </c>
      <c r="H102" s="6" t="s">
        <v>391</v>
      </c>
      <c r="I102" s="6" t="s">
        <v>392</v>
      </c>
      <c r="J102" s="6" t="s">
        <v>393</v>
      </c>
      <c r="K102" s="6" t="s">
        <v>394</v>
      </c>
      <c r="L102" s="6" t="s">
        <v>395</v>
      </c>
    </row>
    <row r="103" spans="1:13">
      <c r="B103" s="6" t="s">
        <v>386</v>
      </c>
      <c r="C103" s="8">
        <f t="array" ref="C103:L112">MMULT(TRANSPOSE(C60:L89),C60:L89)/C94</f>
        <v>1.0000000000000004</v>
      </c>
      <c r="D103" s="8">
        <v>0.46571093521968016</v>
      </c>
      <c r="E103" s="8">
        <v>0.50543068095623889</v>
      </c>
      <c r="F103" s="8">
        <v>0.43051522565274397</v>
      </c>
      <c r="G103" s="8">
        <v>0.4219913662129311</v>
      </c>
      <c r="H103" s="8">
        <v>0.3417277671929988</v>
      </c>
      <c r="I103" s="8">
        <v>-6.2322593770831193E-2</v>
      </c>
      <c r="J103" s="8">
        <v>-0.27877467376084064</v>
      </c>
      <c r="K103" s="8">
        <v>0.40856841593350451</v>
      </c>
      <c r="L103" s="65">
        <v>0.34545955031966746</v>
      </c>
    </row>
    <row r="104" spans="1:13">
      <c r="B104" s="6" t="s">
        <v>387</v>
      </c>
      <c r="C104" s="8">
        <v>0.46571093521968016</v>
      </c>
      <c r="D104" s="8">
        <v>0.99999999999997402</v>
      </c>
      <c r="E104" s="8">
        <v>0.68037333538151079</v>
      </c>
      <c r="F104" s="8">
        <v>0.67545705721907545</v>
      </c>
      <c r="G104" s="8">
        <v>0.72652512502188871</v>
      </c>
      <c r="H104" s="8">
        <v>0.35136689087203726</v>
      </c>
      <c r="I104" s="8">
        <v>0.11122992244839601</v>
      </c>
      <c r="J104" s="8">
        <v>0.16794270126609584</v>
      </c>
      <c r="K104" s="8">
        <v>0.71088478793921028</v>
      </c>
      <c r="L104" s="8">
        <v>0.69405356154569364</v>
      </c>
    </row>
    <row r="105" spans="1:13">
      <c r="B105" s="6" t="s">
        <v>388</v>
      </c>
      <c r="C105" s="8">
        <v>0.50543068095623889</v>
      </c>
      <c r="D105" s="8">
        <v>0.68037333538151079</v>
      </c>
      <c r="E105" s="8">
        <v>0.99999999999999833</v>
      </c>
      <c r="F105" s="8">
        <v>0.65629451548843953</v>
      </c>
      <c r="G105" s="8">
        <v>0.5953593769062635</v>
      </c>
      <c r="H105" s="8">
        <v>0.35873814618575611</v>
      </c>
      <c r="I105" s="8">
        <v>0.2563482476203795</v>
      </c>
      <c r="J105" s="8">
        <v>9.1627344727720647E-2</v>
      </c>
      <c r="K105" s="8">
        <v>0.65167128283936793</v>
      </c>
      <c r="L105" s="8">
        <v>0.685798143702673</v>
      </c>
    </row>
    <row r="106" spans="1:13">
      <c r="B106" s="6" t="s">
        <v>389</v>
      </c>
      <c r="C106" s="8">
        <v>0.43051522565274397</v>
      </c>
      <c r="D106" s="8">
        <v>0.67545705721907545</v>
      </c>
      <c r="E106" s="8">
        <v>0.65629451548843953</v>
      </c>
      <c r="F106" s="8">
        <v>0.99999999999998257</v>
      </c>
      <c r="G106" s="8">
        <v>0.79183019900691332</v>
      </c>
      <c r="H106" s="8">
        <v>0.71818315601107574</v>
      </c>
      <c r="I106" s="8">
        <v>0.63299994849982977</v>
      </c>
      <c r="J106" s="8">
        <v>0.4535694202646966</v>
      </c>
      <c r="K106" s="8">
        <v>0.92005129756111059</v>
      </c>
      <c r="L106" s="8">
        <v>0.83674848289821346</v>
      </c>
    </row>
    <row r="107" spans="1:13">
      <c r="B107" s="6" t="s">
        <v>390</v>
      </c>
      <c r="C107" s="8">
        <v>0.4219913662129311</v>
      </c>
      <c r="D107" s="8">
        <v>0.72652512502188871</v>
      </c>
      <c r="E107" s="8">
        <v>0.5953593769062635</v>
      </c>
      <c r="F107" s="8">
        <v>0.79183019900691332</v>
      </c>
      <c r="G107" s="8">
        <v>1.0000000000000027</v>
      </c>
      <c r="H107" s="8">
        <v>0.66786344379935358</v>
      </c>
      <c r="I107" s="8">
        <v>0.47052933709448924</v>
      </c>
      <c r="J107" s="8">
        <v>0.41269537029206876</v>
      </c>
      <c r="K107" s="8">
        <v>0.79613184573624629</v>
      </c>
      <c r="L107" s="8">
        <v>0.66742321113750658</v>
      </c>
    </row>
    <row r="108" spans="1:13">
      <c r="B108" s="6" t="s">
        <v>391</v>
      </c>
      <c r="C108" s="8">
        <v>0.3417277671929988</v>
      </c>
      <c r="D108" s="8">
        <v>0.35136689087203726</v>
      </c>
      <c r="E108" s="8">
        <v>0.35873814618575611</v>
      </c>
      <c r="F108" s="8">
        <v>0.71818315601107574</v>
      </c>
      <c r="G108" s="8">
        <v>0.66786344379935358</v>
      </c>
      <c r="H108" s="8">
        <v>1.0000000000000155</v>
      </c>
      <c r="I108" s="8">
        <v>0.57276201871395072</v>
      </c>
      <c r="J108" s="8">
        <v>0.46034779280021054</v>
      </c>
      <c r="K108" s="8">
        <v>0.6483483510658774</v>
      </c>
      <c r="L108" s="8">
        <v>0.42070181569419846</v>
      </c>
    </row>
    <row r="109" spans="1:13">
      <c r="B109" s="6" t="s">
        <v>392</v>
      </c>
      <c r="C109" s="8">
        <v>-6.2322593770831193E-2</v>
      </c>
      <c r="D109" s="8">
        <v>0.11122992244839601</v>
      </c>
      <c r="E109" s="8">
        <v>0.2563482476203795</v>
      </c>
      <c r="F109" s="8">
        <v>0.63299994849982977</v>
      </c>
      <c r="G109" s="8">
        <v>0.47052933709448924</v>
      </c>
      <c r="H109" s="8">
        <v>0.57276201871395072</v>
      </c>
      <c r="I109" s="8">
        <v>0.99999999999999989</v>
      </c>
      <c r="J109" s="8">
        <v>0.6748146169583108</v>
      </c>
      <c r="K109" s="8">
        <v>0.5775838942017254</v>
      </c>
      <c r="L109" s="8">
        <v>0.4853005484088968</v>
      </c>
    </row>
    <row r="110" spans="1:13">
      <c r="B110" s="6" t="s">
        <v>393</v>
      </c>
      <c r="C110" s="8">
        <v>-0.27877467376084064</v>
      </c>
      <c r="D110" s="8">
        <v>0.16794270126609584</v>
      </c>
      <c r="E110" s="8">
        <v>9.1627344727720647E-2</v>
      </c>
      <c r="F110" s="8">
        <v>0.4535694202646966</v>
      </c>
      <c r="G110" s="8">
        <v>0.41269537029206876</v>
      </c>
      <c r="H110" s="8">
        <v>0.46034779280021054</v>
      </c>
      <c r="I110" s="8">
        <v>0.6748146169583108</v>
      </c>
      <c r="J110" s="8">
        <v>1.0000000000000084</v>
      </c>
      <c r="K110" s="8">
        <v>0.38078984825712348</v>
      </c>
      <c r="L110" s="8">
        <v>0.30431392927666689</v>
      </c>
    </row>
    <row r="111" spans="1:13">
      <c r="B111" s="6" t="s">
        <v>394</v>
      </c>
      <c r="C111" s="8">
        <v>0.40856841593350451</v>
      </c>
      <c r="D111" s="8">
        <v>0.71088478793921028</v>
      </c>
      <c r="E111" s="8">
        <v>0.65167128283936793</v>
      </c>
      <c r="F111" s="8">
        <v>0.92005129756111059</v>
      </c>
      <c r="G111" s="8">
        <v>0.79613184573624629</v>
      </c>
      <c r="H111" s="8">
        <v>0.6483483510658774</v>
      </c>
      <c r="I111" s="8">
        <v>0.5775838942017254</v>
      </c>
      <c r="J111" s="8">
        <v>0.38078984825712348</v>
      </c>
      <c r="K111" s="8">
        <v>1.000000000000002</v>
      </c>
      <c r="L111" s="8">
        <v>0.85534627096652849</v>
      </c>
    </row>
    <row r="112" spans="1:13">
      <c r="B112" s="6" t="s">
        <v>395</v>
      </c>
      <c r="C112" s="8">
        <v>0.34545955031966746</v>
      </c>
      <c r="D112" s="8">
        <v>0.69405356154569364</v>
      </c>
      <c r="E112" s="8">
        <v>0.685798143702673</v>
      </c>
      <c r="F112" s="8">
        <v>0.83674848289821346</v>
      </c>
      <c r="G112" s="8">
        <v>0.66742321113750658</v>
      </c>
      <c r="H112" s="8">
        <v>0.42070181569419846</v>
      </c>
      <c r="I112" s="8">
        <v>0.4853005484088968</v>
      </c>
      <c r="J112" s="8">
        <v>0.30431392927666689</v>
      </c>
      <c r="K112" s="8">
        <v>0.85534627096652849</v>
      </c>
      <c r="L112" s="8">
        <v>1.0000000000000056</v>
      </c>
    </row>
    <row r="114" spans="1:13">
      <c r="B114" s="6" t="s">
        <v>274</v>
      </c>
      <c r="C114" s="134">
        <f t="array" ref="C114">MDETERM(C103:L112)</f>
        <v>5.3742490924961661E-5</v>
      </c>
    </row>
    <row r="118" spans="1:13">
      <c r="A118" s="132" t="s">
        <v>451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</row>
    <row r="121" spans="1:13">
      <c r="C121" s="6" t="s">
        <v>386</v>
      </c>
      <c r="D121" s="6" t="s">
        <v>387</v>
      </c>
      <c r="E121" s="6" t="s">
        <v>388</v>
      </c>
      <c r="F121" s="6" t="s">
        <v>389</v>
      </c>
      <c r="G121" s="6" t="s">
        <v>390</v>
      </c>
      <c r="H121" s="6" t="s">
        <v>391</v>
      </c>
      <c r="I121" s="6" t="s">
        <v>392</v>
      </c>
      <c r="J121" s="6" t="s">
        <v>393</v>
      </c>
      <c r="K121" s="6" t="s">
        <v>394</v>
      </c>
      <c r="L121" s="6" t="s">
        <v>395</v>
      </c>
    </row>
    <row r="122" spans="1:13">
      <c r="B122" s="6" t="s">
        <v>386</v>
      </c>
      <c r="C122" s="8">
        <f t="array" ref="C122:L131">MINVERSE(C103:L112)</f>
        <v>2.3132232914568878</v>
      </c>
      <c r="D122" s="8">
        <v>-5.3998250998946652E-2</v>
      </c>
      <c r="E122" s="8">
        <v>-0.47230881703255556</v>
      </c>
      <c r="F122" s="8">
        <v>-1.3087202288905813</v>
      </c>
      <c r="G122" s="8">
        <v>-0.42040125805180595</v>
      </c>
      <c r="H122" s="8">
        <v>-0.49797144593264009</v>
      </c>
      <c r="I122" s="8">
        <v>0.48830409715710432</v>
      </c>
      <c r="J122" s="8">
        <v>1.1676051642644969</v>
      </c>
      <c r="K122" s="8">
        <v>0.22818412608513472</v>
      </c>
      <c r="L122" s="8">
        <v>0.35994462262563093</v>
      </c>
    </row>
    <row r="123" spans="1:13">
      <c r="B123" s="6" t="s">
        <v>387</v>
      </c>
      <c r="C123" s="8">
        <v>-5.3998250998946631E-2</v>
      </c>
      <c r="D123" s="8">
        <v>4.6139362552323391</v>
      </c>
      <c r="E123" s="8">
        <v>-0.85628260564620817</v>
      </c>
      <c r="F123" s="8">
        <v>-1.1774130658377047</v>
      </c>
      <c r="G123" s="8">
        <v>-1.8747475343859381</v>
      </c>
      <c r="H123" s="8">
        <v>0.87785259528163961</v>
      </c>
      <c r="I123" s="8">
        <v>2.3246950704059666</v>
      </c>
      <c r="J123" s="8">
        <v>-0.71555130178598803</v>
      </c>
      <c r="K123" s="8">
        <v>-1.3448483299262082</v>
      </c>
      <c r="L123" s="8">
        <v>-0.4894057827222314</v>
      </c>
    </row>
    <row r="124" spans="1:13">
      <c r="B124" s="6" t="s">
        <v>388</v>
      </c>
      <c r="C124" s="8">
        <v>-0.47230881703255551</v>
      </c>
      <c r="D124" s="8">
        <v>-0.85628260564620751</v>
      </c>
      <c r="E124" s="8">
        <v>2.5206763380132853</v>
      </c>
      <c r="F124" s="8">
        <v>-0.41779990393496663</v>
      </c>
      <c r="G124" s="8">
        <v>-0.11897903618178447</v>
      </c>
      <c r="H124" s="8">
        <v>0.11150065364345681</v>
      </c>
      <c r="I124" s="8">
        <v>-0.33478381648829131</v>
      </c>
      <c r="J124" s="8">
        <v>0.31461268416784977</v>
      </c>
      <c r="K124" s="8">
        <v>0.32135808518845771</v>
      </c>
      <c r="L124" s="8">
        <v>-0.79725398327219643</v>
      </c>
    </row>
    <row r="125" spans="1:13">
      <c r="B125" s="6" t="s">
        <v>389</v>
      </c>
      <c r="C125" s="8">
        <v>-1.3087202288905813</v>
      </c>
      <c r="D125" s="8">
        <v>-1.1774130658377076</v>
      </c>
      <c r="E125" s="8">
        <v>-0.4177999039349663</v>
      </c>
      <c r="F125" s="8">
        <v>11.793651511344173</v>
      </c>
      <c r="G125" s="8">
        <v>0.24473156378124994</v>
      </c>
      <c r="H125" s="8">
        <v>-2.3986590645982164</v>
      </c>
      <c r="I125" s="8">
        <v>-1.6948510659436933</v>
      </c>
      <c r="J125" s="8">
        <v>-0.91108522082895016</v>
      </c>
      <c r="K125" s="8">
        <v>-4.0042293045897583</v>
      </c>
      <c r="L125" s="8">
        <v>-2.9419446013195891</v>
      </c>
    </row>
    <row r="126" spans="1:13">
      <c r="B126" s="6" t="s">
        <v>390</v>
      </c>
      <c r="C126" s="8">
        <v>-0.42040125805180556</v>
      </c>
      <c r="D126" s="8">
        <v>-1.8747475343859399</v>
      </c>
      <c r="E126" s="8">
        <v>-0.11897903618178358</v>
      </c>
      <c r="F126" s="8">
        <v>0.24473156378124952</v>
      </c>
      <c r="G126" s="8">
        <v>4.2665108075662479</v>
      </c>
      <c r="H126" s="8">
        <v>-1.0732471157055572</v>
      </c>
      <c r="I126" s="8">
        <v>-0.49362664180471871</v>
      </c>
      <c r="J126" s="8">
        <v>-0.50047526237411444</v>
      </c>
      <c r="K126" s="8">
        <v>-1.0651001204802364</v>
      </c>
      <c r="L126" s="8">
        <v>0.23006062680352721</v>
      </c>
    </row>
    <row r="127" spans="1:13">
      <c r="B127" s="6" t="s">
        <v>391</v>
      </c>
      <c r="C127" s="8">
        <v>-0.49797144593264014</v>
      </c>
      <c r="D127" s="8">
        <v>0.87785259528164006</v>
      </c>
      <c r="E127" s="8">
        <v>0.11150065364345613</v>
      </c>
      <c r="F127" s="8">
        <v>-2.3986590645982142</v>
      </c>
      <c r="G127" s="8">
        <v>-1.0732471157055574</v>
      </c>
      <c r="H127" s="8">
        <v>3.3349955935117581</v>
      </c>
      <c r="I127" s="8">
        <v>-9.5762169211938808E-2</v>
      </c>
      <c r="J127" s="8">
        <v>-0.43977934122203083</v>
      </c>
      <c r="K127" s="8">
        <v>-0.80317773721854968</v>
      </c>
      <c r="L127" s="8">
        <v>1.673930493335152</v>
      </c>
    </row>
    <row r="128" spans="1:13">
      <c r="B128" s="6" t="s">
        <v>392</v>
      </c>
      <c r="C128" s="8">
        <v>0.48830409715710466</v>
      </c>
      <c r="D128" s="8">
        <v>2.324695070405967</v>
      </c>
      <c r="E128" s="8">
        <v>-0.33478381648829164</v>
      </c>
      <c r="F128" s="8">
        <v>-1.6948510659436944</v>
      </c>
      <c r="G128" s="8">
        <v>-0.49362664180471766</v>
      </c>
      <c r="H128" s="8">
        <v>-9.5762169211938433E-2</v>
      </c>
      <c r="I128" s="8">
        <v>3.8971607590714954</v>
      </c>
      <c r="J128" s="8">
        <v>-1.3233044135790086</v>
      </c>
      <c r="K128" s="8">
        <v>-1.0976022198280395</v>
      </c>
      <c r="L128" s="8">
        <v>-0.31441315420649013</v>
      </c>
    </row>
    <row r="129" spans="1:13">
      <c r="B129" s="6" t="s">
        <v>393</v>
      </c>
      <c r="C129" s="8">
        <v>1.1676051642644967</v>
      </c>
      <c r="D129" s="8">
        <v>-0.71555130178598725</v>
      </c>
      <c r="E129" s="8">
        <v>0.3146126841678501</v>
      </c>
      <c r="F129" s="8">
        <v>-0.91108522082895083</v>
      </c>
      <c r="G129" s="8">
        <v>-0.50047526237411522</v>
      </c>
      <c r="H129" s="8">
        <v>-0.4397793412220305</v>
      </c>
      <c r="I129" s="8">
        <v>-1.3233044135790082</v>
      </c>
      <c r="J129" s="8">
        <v>2.7271649801234021</v>
      </c>
      <c r="K129" s="8">
        <v>0.90751934124967415</v>
      </c>
      <c r="L129" s="8">
        <v>0.19494651243981398</v>
      </c>
    </row>
    <row r="130" spans="1:13">
      <c r="B130" s="6" t="s">
        <v>394</v>
      </c>
      <c r="C130" s="8">
        <v>0.22818412608513336</v>
      </c>
      <c r="D130" s="8">
        <v>-1.3448483299262046</v>
      </c>
      <c r="E130" s="8">
        <v>0.32135808518845854</v>
      </c>
      <c r="F130" s="8">
        <v>-4.004229304589761</v>
      </c>
      <c r="G130" s="8">
        <v>-1.0651001204802353</v>
      </c>
      <c r="H130" s="8">
        <v>-0.8031777372185479</v>
      </c>
      <c r="I130" s="8">
        <v>-1.0976022198280364</v>
      </c>
      <c r="J130" s="8">
        <v>0.90751934124967315</v>
      </c>
      <c r="K130" s="8">
        <v>9.2025148547521454</v>
      </c>
      <c r="L130" s="8">
        <v>-2.5813553019297788</v>
      </c>
    </row>
    <row r="131" spans="1:13">
      <c r="B131" s="6" t="s">
        <v>395</v>
      </c>
      <c r="C131" s="8">
        <v>0.35994462262563087</v>
      </c>
      <c r="D131" s="8">
        <v>-0.48940578272223273</v>
      </c>
      <c r="E131" s="8">
        <v>-0.7972539832721961</v>
      </c>
      <c r="F131" s="8">
        <v>-2.9419446013195865</v>
      </c>
      <c r="G131" s="8">
        <v>0.23006062680352637</v>
      </c>
      <c r="H131" s="8">
        <v>1.6739304933351518</v>
      </c>
      <c r="I131" s="8">
        <v>-0.31441315420649296</v>
      </c>
      <c r="J131" s="8">
        <v>0.19494651243981467</v>
      </c>
      <c r="K131" s="8">
        <v>-2.5813553019297779</v>
      </c>
      <c r="L131" s="8">
        <v>5.6671896710993979</v>
      </c>
    </row>
    <row r="134" spans="1:13">
      <c r="B134" s="125" t="s">
        <v>369</v>
      </c>
      <c r="C134" s="2" t="s">
        <v>452</v>
      </c>
      <c r="D134" s="2"/>
      <c r="E134" s="2"/>
      <c r="F134" s="2"/>
      <c r="G134" s="2"/>
      <c r="H134" s="2"/>
      <c r="I134" s="2"/>
      <c r="J134" s="2"/>
      <c r="K134" s="2"/>
      <c r="L134" s="2"/>
    </row>
    <row r="135" spans="1:13">
      <c r="C135" s="2" t="s">
        <v>453</v>
      </c>
      <c r="D135" s="2"/>
      <c r="E135" s="2"/>
      <c r="F135" s="2"/>
      <c r="G135" s="2"/>
      <c r="H135" s="2"/>
      <c r="I135" s="2"/>
      <c r="J135" s="2"/>
      <c r="K135" s="2"/>
      <c r="L135" s="2"/>
    </row>
    <row r="136" spans="1:13"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9" spans="1:13">
      <c r="A139" s="132" t="s">
        <v>454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</row>
    <row r="140" spans="1:13">
      <c r="B140" s="9"/>
    </row>
    <row r="141" spans="1:13">
      <c r="B141" s="9"/>
    </row>
    <row r="142" spans="1:13">
      <c r="B142" s="6" t="s">
        <v>6</v>
      </c>
      <c r="C142" s="109" t="s">
        <v>398</v>
      </c>
      <c r="D142" s="2"/>
      <c r="E142" s="2"/>
      <c r="F142" s="2"/>
      <c r="G142" s="2"/>
      <c r="H142" s="2"/>
      <c r="I142" s="2"/>
      <c r="J142" s="2"/>
      <c r="K142" s="2"/>
      <c r="L142" s="2"/>
    </row>
    <row r="143" spans="1:13">
      <c r="C143" s="109" t="s">
        <v>400</v>
      </c>
      <c r="D143" s="2"/>
      <c r="E143" s="2"/>
      <c r="F143" s="2"/>
      <c r="G143" s="2"/>
      <c r="H143" s="2"/>
      <c r="I143" s="2"/>
      <c r="J143" s="2"/>
      <c r="K143" s="2"/>
      <c r="L143" s="2"/>
    </row>
    <row r="144" spans="1:13">
      <c r="C144" s="109" t="s">
        <v>401</v>
      </c>
      <c r="D144" s="2"/>
      <c r="E144" s="2"/>
      <c r="F144" s="2"/>
      <c r="G144" s="2"/>
      <c r="H144" s="2"/>
      <c r="I144" s="2"/>
      <c r="J144" s="2"/>
      <c r="K144" s="2"/>
      <c r="L144" s="2"/>
    </row>
    <row r="145" spans="2:12">
      <c r="C145" s="109" t="s">
        <v>402</v>
      </c>
      <c r="D145" s="2"/>
      <c r="E145" s="2"/>
      <c r="F145" s="2"/>
      <c r="G145" s="2"/>
      <c r="H145" s="2"/>
      <c r="I145" s="2"/>
      <c r="J145" s="2"/>
      <c r="K145" s="2"/>
      <c r="L145" s="2"/>
    </row>
    <row r="146" spans="2:12">
      <c r="C146" s="109" t="s">
        <v>403</v>
      </c>
      <c r="D146" s="2"/>
      <c r="E146" s="2"/>
      <c r="F146" s="2"/>
      <c r="G146" s="2"/>
      <c r="H146" s="2"/>
      <c r="I146" s="2"/>
      <c r="J146" s="2"/>
      <c r="K146" s="2"/>
      <c r="L146" s="2"/>
    </row>
    <row r="148" spans="2:12">
      <c r="C148" s="128"/>
    </row>
    <row r="149" spans="2:12">
      <c r="B149" s="6" t="s">
        <v>346</v>
      </c>
      <c r="C149" s="6" t="s">
        <v>347</v>
      </c>
    </row>
    <row r="150" spans="2:12">
      <c r="B150" s="6" t="s">
        <v>399</v>
      </c>
      <c r="C150" s="22">
        <v>5.8183740581007832</v>
      </c>
    </row>
    <row r="151" spans="2:12">
      <c r="B151" s="6" t="s">
        <v>405</v>
      </c>
      <c r="C151" s="22">
        <v>1.8294182022636241</v>
      </c>
    </row>
    <row r="152" spans="2:12">
      <c r="B152" s="6" t="s">
        <v>406</v>
      </c>
      <c r="C152" s="22">
        <v>0.76150279479503291</v>
      </c>
    </row>
    <row r="153" spans="2:12">
      <c r="B153" s="6" t="s">
        <v>407</v>
      </c>
      <c r="C153" s="22">
        <v>0.51007174241929387</v>
      </c>
    </row>
    <row r="154" spans="2:12">
      <c r="B154" s="6" t="s">
        <v>408</v>
      </c>
      <c r="C154" s="22">
        <v>0.33864537099949099</v>
      </c>
    </row>
    <row r="155" spans="2:12">
      <c r="B155" s="6" t="s">
        <v>409</v>
      </c>
      <c r="C155" s="22">
        <v>0.25433693369243393</v>
      </c>
    </row>
    <row r="156" spans="2:12">
      <c r="B156" s="6" t="s">
        <v>410</v>
      </c>
      <c r="C156" s="22">
        <v>0.20697642718233025</v>
      </c>
    </row>
    <row r="157" spans="2:12">
      <c r="B157" s="6" t="s">
        <v>411</v>
      </c>
      <c r="C157" s="22">
        <v>0.12743422400871551</v>
      </c>
    </row>
    <row r="158" spans="2:12">
      <c r="B158" s="6" t="s">
        <v>412</v>
      </c>
      <c r="C158" s="22">
        <v>8.8816921350392444E-2</v>
      </c>
    </row>
    <row r="159" spans="2:12">
      <c r="B159" s="6" t="s">
        <v>413</v>
      </c>
      <c r="C159" s="22">
        <v>6.4423325187906111E-2</v>
      </c>
    </row>
    <row r="161" spans="1:13">
      <c r="B161" s="6" t="s">
        <v>404</v>
      </c>
      <c r="C161" s="22">
        <f>SUM(C150:C159)</f>
        <v>10.000000000000002</v>
      </c>
    </row>
    <row r="165" spans="1:13">
      <c r="A165" s="132" t="s">
        <v>455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</row>
    <row r="167" spans="1:13">
      <c r="B167" s="99"/>
    </row>
    <row r="168" spans="1:13">
      <c r="B168" s="136" t="s">
        <v>6</v>
      </c>
      <c r="C168" s="109" t="s">
        <v>414</v>
      </c>
      <c r="D168" s="2"/>
      <c r="E168" s="2"/>
      <c r="F168" s="2"/>
      <c r="G168" s="2"/>
      <c r="H168" s="2"/>
      <c r="I168" s="2"/>
      <c r="J168" s="2"/>
      <c r="K168" s="2"/>
      <c r="L168" s="2"/>
    </row>
    <row r="169" spans="1:13">
      <c r="B169" s="99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1" spans="1:13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</row>
    <row r="172" spans="1:13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</row>
    <row r="173" spans="1:13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</row>
    <row r="174" spans="1:13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</row>
    <row r="175" spans="1:13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</row>
    <row r="176" spans="1:13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</row>
    <row r="177" spans="1:13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</row>
    <row r="178" spans="1:13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</row>
    <row r="179" spans="1:13">
      <c r="B179" s="127"/>
      <c r="C179" s="127"/>
      <c r="D179" s="127"/>
      <c r="E179" s="127"/>
      <c r="F179" s="127" t="s">
        <v>45</v>
      </c>
      <c r="G179" s="127"/>
      <c r="H179" s="127"/>
      <c r="I179" s="127"/>
      <c r="J179" s="127"/>
      <c r="K179" s="127"/>
      <c r="L179" s="127"/>
    </row>
    <row r="180" spans="1:13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</row>
    <row r="181" spans="1:13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</row>
    <row r="182" spans="1:13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</row>
    <row r="183" spans="1:13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</row>
    <row r="184" spans="1:13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</row>
    <row r="185" spans="1:13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</row>
    <row r="186" spans="1:13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</row>
    <row r="187" spans="1:13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</row>
    <row r="188" spans="1:13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</row>
    <row r="192" spans="1:13">
      <c r="A192" s="132" t="s">
        <v>456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</row>
    <row r="193" spans="2:13">
      <c r="B193" s="9"/>
    </row>
    <row r="194" spans="2:13">
      <c r="B194" s="9"/>
    </row>
    <row r="195" spans="2:13">
      <c r="B195" s="6" t="s">
        <v>6</v>
      </c>
      <c r="C195" s="109" t="s">
        <v>415</v>
      </c>
      <c r="D195" s="2"/>
      <c r="E195" s="2"/>
      <c r="F195" s="2"/>
      <c r="G195" s="2"/>
      <c r="H195" s="2"/>
      <c r="I195" s="2"/>
      <c r="J195" s="2"/>
      <c r="K195" s="2"/>
      <c r="L195" s="2"/>
    </row>
    <row r="196" spans="2:13">
      <c r="C196" s="109" t="s">
        <v>422</v>
      </c>
      <c r="D196" s="2"/>
      <c r="E196" s="2"/>
      <c r="F196" s="2"/>
      <c r="G196" s="2"/>
      <c r="H196" s="2"/>
      <c r="I196" s="2"/>
      <c r="J196" s="2"/>
      <c r="K196" s="2"/>
      <c r="L196" s="2"/>
    </row>
    <row r="197" spans="2:13">
      <c r="C197" s="109" t="s">
        <v>423</v>
      </c>
      <c r="D197" s="2"/>
      <c r="E197" s="2"/>
      <c r="F197" s="2"/>
      <c r="G197" s="2"/>
      <c r="H197" s="2"/>
      <c r="I197" s="2"/>
      <c r="J197" s="2"/>
      <c r="K197" s="2"/>
      <c r="L197" s="2"/>
    </row>
    <row r="198" spans="2:13">
      <c r="C198" s="109" t="s">
        <v>458</v>
      </c>
      <c r="D198" s="2"/>
      <c r="E198" s="2"/>
      <c r="F198" s="2"/>
      <c r="G198" s="2"/>
      <c r="H198" s="2"/>
      <c r="I198" s="2"/>
      <c r="J198" s="2"/>
      <c r="K198" s="2"/>
      <c r="L198" s="2"/>
    </row>
    <row r="199" spans="2:13">
      <c r="C199" s="2" t="s">
        <v>457</v>
      </c>
      <c r="D199" s="2"/>
      <c r="E199" s="2"/>
      <c r="F199" s="2"/>
      <c r="G199" s="2"/>
      <c r="H199" s="2"/>
      <c r="I199" s="2"/>
      <c r="J199" s="2"/>
      <c r="K199" s="2"/>
      <c r="L199" s="2"/>
    </row>
    <row r="200" spans="2:13">
      <c r="C200" s="2" t="s">
        <v>480</v>
      </c>
      <c r="D200" s="2"/>
      <c r="E200" s="2"/>
      <c r="F200" s="2"/>
      <c r="G200" s="2"/>
      <c r="H200" s="2"/>
      <c r="I200" s="2"/>
      <c r="J200" s="2"/>
      <c r="K200" s="2"/>
      <c r="L200" s="2"/>
    </row>
    <row r="202" spans="2:13">
      <c r="C202" s="249"/>
      <c r="D202" s="250"/>
      <c r="E202" s="250"/>
      <c r="F202" s="250"/>
      <c r="G202" s="250"/>
      <c r="H202" s="250"/>
      <c r="I202" s="250"/>
      <c r="J202" s="250"/>
      <c r="K202" s="250"/>
      <c r="L202" s="250"/>
    </row>
    <row r="203" spans="2:13">
      <c r="B203" s="6" t="s">
        <v>338</v>
      </c>
      <c r="C203" s="6" t="s">
        <v>342</v>
      </c>
      <c r="D203" s="6" t="s">
        <v>342</v>
      </c>
      <c r="E203" s="6" t="s">
        <v>342</v>
      </c>
      <c r="F203" s="6" t="s">
        <v>342</v>
      </c>
      <c r="G203" s="6" t="s">
        <v>342</v>
      </c>
      <c r="H203" s="6" t="s">
        <v>342</v>
      </c>
      <c r="I203" s="6" t="s">
        <v>342</v>
      </c>
      <c r="J203" s="6" t="s">
        <v>342</v>
      </c>
      <c r="K203" s="6" t="s">
        <v>342</v>
      </c>
      <c r="L203" s="6" t="s">
        <v>342</v>
      </c>
      <c r="M203" s="6" t="s">
        <v>421</v>
      </c>
    </row>
    <row r="204" spans="2:13">
      <c r="B204" s="6" t="s">
        <v>291</v>
      </c>
      <c r="C204" s="140">
        <v>-0.47359937433901689</v>
      </c>
      <c r="D204" s="140">
        <v>0.6703416227366441</v>
      </c>
      <c r="E204" s="140">
        <v>0.46270118186323073</v>
      </c>
      <c r="F204" s="140">
        <v>8.2558559845728227E-2</v>
      </c>
      <c r="G204" s="140">
        <v>3.9351427031740695E-2</v>
      </c>
      <c r="H204" s="140">
        <v>0.32088636787007307</v>
      </c>
      <c r="I204" s="140">
        <v>-1.398592189961871E-2</v>
      </c>
      <c r="J204" s="140">
        <v>4.9690714663258844E-3</v>
      </c>
      <c r="K204" s="140">
        <v>-5.3161954937586391E-3</v>
      </c>
      <c r="L204" s="140">
        <v>2.592848702945624E-2</v>
      </c>
      <c r="M204" s="140">
        <f>SUMSQ(C204:L204)</f>
        <v>1.0000000000000033</v>
      </c>
    </row>
    <row r="205" spans="2:13">
      <c r="B205" s="6" t="s">
        <v>292</v>
      </c>
      <c r="C205" s="140">
        <v>-0.76507942980626198</v>
      </c>
      <c r="D205" s="140">
        <v>0.38809837623449051</v>
      </c>
      <c r="E205" s="140">
        <v>-0.28746239848208233</v>
      </c>
      <c r="F205" s="140">
        <v>-0.35198785852093684</v>
      </c>
      <c r="G205" s="140">
        <v>-4.3505174220684201E-2</v>
      </c>
      <c r="H205" s="140">
        <v>2.0993704496989941E-2</v>
      </c>
      <c r="I205" s="140">
        <v>-2.9989576864586347E-2</v>
      </c>
      <c r="J205" s="140">
        <v>-0.21539590329402303</v>
      </c>
      <c r="K205" s="140">
        <v>-8.7076370205347614E-2</v>
      </c>
      <c r="L205" s="140">
        <v>1.7103608603733726E-2</v>
      </c>
      <c r="M205" s="140">
        <f t="shared" ref="M205:M213" si="38">SUMSQ(C205:L205)</f>
        <v>1.0000000000000022</v>
      </c>
    </row>
    <row r="206" spans="2:13">
      <c r="B206" s="6" t="s">
        <v>293</v>
      </c>
      <c r="C206" s="140">
        <v>-0.74341672708180351</v>
      </c>
      <c r="D206" s="140">
        <v>0.37851641282355181</v>
      </c>
      <c r="E206" s="140">
        <v>-0.19933160055082144</v>
      </c>
      <c r="F206" s="140">
        <v>0.18022302106324656</v>
      </c>
      <c r="G206" s="140">
        <v>0.46227561688614083</v>
      </c>
      <c r="H206" s="140">
        <v>-0.12926615215782428</v>
      </c>
      <c r="I206" s="140">
        <v>-1.1797858937966484E-2</v>
      </c>
      <c r="J206" s="140">
        <v>1.9539391757370364E-2</v>
      </c>
      <c r="K206" s="140">
        <v>2.9674726903413877E-2</v>
      </c>
      <c r="L206" s="140">
        <v>5.7810064127978228E-3</v>
      </c>
      <c r="M206" s="140">
        <f t="shared" si="38"/>
        <v>1.0000000000000029</v>
      </c>
    </row>
    <row r="207" spans="2:13">
      <c r="B207" s="6" t="s">
        <v>294</v>
      </c>
      <c r="C207" s="140">
        <v>-0.95880794761291899</v>
      </c>
      <c r="D207" s="140">
        <v>-5.6939824196561808E-2</v>
      </c>
      <c r="E207" s="140">
        <v>3.1451161899421189E-2</v>
      </c>
      <c r="F207" s="140">
        <v>8.9292025739601683E-2</v>
      </c>
      <c r="G207" s="140">
        <v>-9.8215427177262574E-2</v>
      </c>
      <c r="H207" s="140">
        <v>3.6887532992297312E-3</v>
      </c>
      <c r="I207" s="140">
        <v>-9.5255814477619369E-2</v>
      </c>
      <c r="J207" s="140">
        <v>-2.828554086370336E-2</v>
      </c>
      <c r="K207" s="140">
        <v>5.9646572808409716E-2</v>
      </c>
      <c r="L207" s="140">
        <v>-0.21305304942951009</v>
      </c>
      <c r="M207" s="140">
        <f t="shared" si="38"/>
        <v>1.0000000000000022</v>
      </c>
    </row>
    <row r="208" spans="2:13">
      <c r="B208" s="6" t="s">
        <v>295</v>
      </c>
      <c r="C208" s="140">
        <v>-0.88240843640222355</v>
      </c>
      <c r="D208" s="140">
        <v>2.03892237570216E-2</v>
      </c>
      <c r="E208" s="140">
        <v>6.7175945363806083E-2</v>
      </c>
      <c r="F208" s="140">
        <v>-0.29615633122223523</v>
      </c>
      <c r="G208" s="140">
        <v>-1.0884449602211809E-2</v>
      </c>
      <c r="H208" s="140">
        <v>-3.5140698837901177E-2</v>
      </c>
      <c r="I208" s="140">
        <v>0.32637527837585079</v>
      </c>
      <c r="J208" s="140">
        <v>0.14223815922344057</v>
      </c>
      <c r="K208" s="140">
        <v>3.7353879339166334E-3</v>
      </c>
      <c r="L208" s="140">
        <v>-2.4467149549406545E-2</v>
      </c>
      <c r="M208" s="140">
        <f t="shared" si="38"/>
        <v>1.0000000000000024</v>
      </c>
    </row>
    <row r="209" spans="1:19">
      <c r="B209" s="6" t="s">
        <v>416</v>
      </c>
      <c r="C209" s="140">
        <v>-0.72956118701491168</v>
      </c>
      <c r="D209" s="140">
        <v>-0.25403189787160124</v>
      </c>
      <c r="E209" s="140">
        <v>0.54256192146721804</v>
      </c>
      <c r="F209" s="140">
        <v>-0.12169855175022029</v>
      </c>
      <c r="G209" s="140">
        <v>2.3573214854155901E-2</v>
      </c>
      <c r="H209" s="140">
        <v>-0.24662658658854023</v>
      </c>
      <c r="I209" s="140">
        <v>-0.15668318848547028</v>
      </c>
      <c r="J209" s="140">
        <v>5.7321996895581921E-3</v>
      </c>
      <c r="K209" s="140">
        <v>-7.9803843856471088E-2</v>
      </c>
      <c r="L209" s="140">
        <v>4.1143533008839238E-2</v>
      </c>
      <c r="M209" s="140">
        <f t="shared" si="38"/>
        <v>1.0000000000000022</v>
      </c>
    </row>
    <row r="210" spans="1:19">
      <c r="B210" s="6" t="s">
        <v>417</v>
      </c>
      <c r="C210" s="140">
        <v>-0.61480861454273139</v>
      </c>
      <c r="D210" s="140">
        <v>-0.65358839689459958</v>
      </c>
      <c r="E210" s="140">
        <v>7.4810455376514762E-2</v>
      </c>
      <c r="F210" s="140">
        <v>0.33829037690426145</v>
      </c>
      <c r="G210" s="140">
        <v>3.759793508682404E-2</v>
      </c>
      <c r="H210" s="140">
        <v>7.2115543786809427E-2</v>
      </c>
      <c r="I210" s="140">
        <v>0.19256264153424052</v>
      </c>
      <c r="J210" s="140">
        <v>-0.15886688968740939</v>
      </c>
      <c r="K210" s="140">
        <v>-7.3456916308980907E-2</v>
      </c>
      <c r="L210" s="140">
        <v>2.1595302809839047E-2</v>
      </c>
      <c r="M210" s="140">
        <f t="shared" si="38"/>
        <v>1.0000000000000038</v>
      </c>
    </row>
    <row r="211" spans="1:19">
      <c r="B211" s="6" t="s">
        <v>418</v>
      </c>
      <c r="C211" s="140">
        <v>-0.46402638132766361</v>
      </c>
      <c r="D211" s="140">
        <v>-0.76334934234840712</v>
      </c>
      <c r="E211" s="140">
        <v>-0.12174250597210855</v>
      </c>
      <c r="F211" s="140">
        <v>-0.25364640229648455</v>
      </c>
      <c r="G211" s="140">
        <v>0.18465558342864458</v>
      </c>
      <c r="H211" s="140">
        <v>0.25079604296377828</v>
      </c>
      <c r="I211" s="140">
        <v>-0.14108627428646114</v>
      </c>
      <c r="J211" s="140">
        <v>6.4349118922278695E-2</v>
      </c>
      <c r="K211" s="140">
        <v>3.5468438241445438E-2</v>
      </c>
      <c r="L211" s="140">
        <v>2.2783067019897844E-2</v>
      </c>
      <c r="M211" s="140">
        <f t="shared" si="38"/>
        <v>1.000000000000002</v>
      </c>
    </row>
    <row r="212" spans="1:19">
      <c r="B212" s="6" t="s">
        <v>419</v>
      </c>
      <c r="C212" s="150">
        <v>-0.94387272192131078</v>
      </c>
      <c r="D212" s="150">
        <v>5.1142552053540522E-3</v>
      </c>
      <c r="E212" s="150">
        <v>-5.3998090435693924E-2</v>
      </c>
      <c r="F212" s="150">
        <v>8.0065301460706659E-2</v>
      </c>
      <c r="G212" s="150">
        <v>-0.19618414414728363</v>
      </c>
      <c r="H212" s="150">
        <v>-5.5348025708386352E-2</v>
      </c>
      <c r="I212" s="150">
        <v>-2.0022090469279847E-2</v>
      </c>
      <c r="J212" s="150">
        <v>-3.5330695232275E-2</v>
      </c>
      <c r="K212" s="150">
        <v>0.20818057263001979</v>
      </c>
      <c r="L212" s="150">
        <v>0.11494332351346336</v>
      </c>
      <c r="M212" s="150">
        <f t="shared" si="38"/>
        <v>1.0000000000000027</v>
      </c>
    </row>
    <row r="213" spans="1:19">
      <c r="B213" s="6" t="s">
        <v>420</v>
      </c>
      <c r="C213" s="151">
        <v>-0.86118525405369506</v>
      </c>
      <c r="D213" s="151">
        <v>8.9827895952621306E-2</v>
      </c>
      <c r="E213" s="151">
        <v>-0.31911414253668519</v>
      </c>
      <c r="F213" s="151">
        <v>0.2262753452420454</v>
      </c>
      <c r="G213" s="151">
        <v>-0.19283527833967207</v>
      </c>
      <c r="H213" s="151">
        <v>3.1345482698200922E-2</v>
      </c>
      <c r="I213" s="151">
        <v>-9.0617609109873543E-2</v>
      </c>
      <c r="J213" s="151">
        <v>0.17011751734096922</v>
      </c>
      <c r="K213" s="151">
        <v>-0.14280187673971617</v>
      </c>
      <c r="L213" s="151">
        <v>3.9302147937699011E-2</v>
      </c>
      <c r="M213" s="151">
        <f t="shared" si="38"/>
        <v>1.0000000000000018</v>
      </c>
    </row>
    <row r="214" spans="1:19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9">
      <c r="B215" s="6" t="s">
        <v>424</v>
      </c>
      <c r="C215" s="140">
        <v>5.8183740581007957</v>
      </c>
      <c r="D215" s="140">
        <v>1.8294182022636307</v>
      </c>
      <c r="E215" s="140">
        <v>0.76150279479503424</v>
      </c>
      <c r="F215" s="140">
        <v>0.51007174241929421</v>
      </c>
      <c r="G215" s="140">
        <v>0.3386453709994911</v>
      </c>
      <c r="H215" s="140">
        <v>0.25433693369243393</v>
      </c>
      <c r="I215" s="140">
        <v>0.20697642718233031</v>
      </c>
      <c r="J215" s="140">
        <v>0.12743422400871554</v>
      </c>
      <c r="K215" s="140">
        <v>8.8816921350392486E-2</v>
      </c>
      <c r="L215" s="140">
        <v>6.4423325187906222E-2</v>
      </c>
      <c r="M215" s="140">
        <f>SUM(C215:L215)</f>
        <v>10.000000000000021</v>
      </c>
      <c r="N215" s="127" t="s">
        <v>426</v>
      </c>
      <c r="O215" s="127"/>
      <c r="P215" s="127"/>
      <c r="Q215" s="127"/>
      <c r="R215" s="127"/>
      <c r="S215" s="127"/>
    </row>
    <row r="216" spans="1:19">
      <c r="B216" s="6" t="s">
        <v>425</v>
      </c>
      <c r="C216" s="140">
        <v>0.58183740581007959</v>
      </c>
      <c r="D216" s="140">
        <v>0.18294182022636307</v>
      </c>
      <c r="E216" s="140">
        <v>7.6150279479503424E-2</v>
      </c>
      <c r="F216" s="140">
        <v>5.1007174241929423E-2</v>
      </c>
      <c r="G216" s="140">
        <v>3.3864537099949112E-2</v>
      </c>
      <c r="H216" s="140">
        <v>2.5433693369243393E-2</v>
      </c>
      <c r="I216" s="140">
        <v>2.0697642718233031E-2</v>
      </c>
      <c r="J216" s="140">
        <v>1.2743422400871554E-2</v>
      </c>
      <c r="K216" s="140">
        <v>8.8816921350392489E-3</v>
      </c>
      <c r="L216" s="140">
        <v>6.4423325187906218E-3</v>
      </c>
      <c r="M216" s="140">
        <f>SUM(C216:L216)</f>
        <v>1.0000000000000024</v>
      </c>
    </row>
    <row r="220" spans="1:19">
      <c r="A220" s="16" t="s">
        <v>459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9" s="21" customFormat="1"/>
    <row r="222" spans="1:19" s="21" customFormat="1"/>
    <row r="223" spans="1:19">
      <c r="B223" s="6" t="s">
        <v>6</v>
      </c>
      <c r="C223" s="109" t="s">
        <v>460</v>
      </c>
      <c r="D223" s="2"/>
      <c r="E223" s="2"/>
      <c r="F223" s="2"/>
      <c r="G223" s="2"/>
      <c r="H223" s="2"/>
      <c r="I223" s="2"/>
      <c r="J223" s="2"/>
      <c r="K223" s="2"/>
      <c r="L223" s="2"/>
    </row>
    <row r="224" spans="1:19">
      <c r="C224" s="109" t="s">
        <v>427</v>
      </c>
      <c r="D224" s="2"/>
      <c r="E224" s="2"/>
      <c r="F224" s="2"/>
      <c r="G224" s="2"/>
      <c r="H224" s="2"/>
      <c r="I224" s="2"/>
      <c r="J224" s="2"/>
      <c r="K224" s="2"/>
      <c r="L224" s="2"/>
    </row>
    <row r="225" spans="2:12"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7" spans="2:12">
      <c r="C227" s="141"/>
      <c r="D227" s="138"/>
      <c r="E227" s="138"/>
      <c r="F227" s="138"/>
      <c r="G227" s="138"/>
      <c r="H227" s="138"/>
      <c r="I227" s="138"/>
      <c r="J227" s="138"/>
      <c r="K227" s="138"/>
      <c r="L227" s="138"/>
    </row>
    <row r="228" spans="2:12">
      <c r="B228" s="6" t="s">
        <v>338</v>
      </c>
      <c r="C228" s="6" t="s">
        <v>342</v>
      </c>
      <c r="D228" s="6" t="s">
        <v>342</v>
      </c>
      <c r="E228" s="6" t="s">
        <v>342</v>
      </c>
      <c r="F228" s="6" t="s">
        <v>342</v>
      </c>
      <c r="G228" s="6" t="s">
        <v>342</v>
      </c>
      <c r="H228" s="6" t="s">
        <v>342</v>
      </c>
      <c r="I228" s="6" t="s">
        <v>342</v>
      </c>
      <c r="J228" s="6" t="s">
        <v>342</v>
      </c>
      <c r="K228" s="6" t="s">
        <v>342</v>
      </c>
      <c r="L228" s="6" t="s">
        <v>342</v>
      </c>
    </row>
    <row r="229" spans="2:12">
      <c r="B229" s="6" t="s">
        <v>291</v>
      </c>
      <c r="C229" s="126">
        <f t="array" ref="C229:L238">MMULT(TRANSPOSE(C204:L213),C204:L213)</f>
        <v>5.8183740581007957</v>
      </c>
      <c r="D229" s="126">
        <v>-2.2204460492503131E-16</v>
      </c>
      <c r="E229" s="126">
        <v>3.8857805861880479E-16</v>
      </c>
      <c r="F229" s="126">
        <v>4.4408920985006262E-16</v>
      </c>
      <c r="G229" s="126">
        <v>-3.6082248300317588E-16</v>
      </c>
      <c r="H229" s="126">
        <v>1.3530843112619095E-16</v>
      </c>
      <c r="I229" s="126">
        <v>2.7755575615628914E-17</v>
      </c>
      <c r="J229" s="126">
        <v>-2.7755575615628914E-17</v>
      </c>
      <c r="K229" s="126">
        <v>4.163336342344337E-17</v>
      </c>
      <c r="L229" s="126">
        <v>2.1510571102112408E-16</v>
      </c>
    </row>
    <row r="230" spans="2:12">
      <c r="B230" s="6" t="s">
        <v>292</v>
      </c>
      <c r="C230" s="126">
        <v>-2.2204460492503131E-16</v>
      </c>
      <c r="D230" s="126">
        <v>1.8294182022636307</v>
      </c>
      <c r="E230" s="126">
        <v>-1.6306400674181987E-16</v>
      </c>
      <c r="F230" s="126">
        <v>-1.7347234759768071E-16</v>
      </c>
      <c r="G230" s="126">
        <v>5.5511151231257827E-17</v>
      </c>
      <c r="H230" s="126">
        <v>3.3046482217358175E-16</v>
      </c>
      <c r="I230" s="126">
        <v>-1.1622647289044608E-16</v>
      </c>
      <c r="J230" s="126">
        <v>1.5092094240998222E-16</v>
      </c>
      <c r="K230" s="126">
        <v>1.5612511283791264E-17</v>
      </c>
      <c r="L230" s="126">
        <v>-6.9388939039072284E-18</v>
      </c>
    </row>
    <row r="231" spans="2:12">
      <c r="B231" s="6" t="s">
        <v>293</v>
      </c>
      <c r="C231" s="126">
        <v>3.8857805861880479E-16</v>
      </c>
      <c r="D231" s="126">
        <v>-1.6306400674181987E-16</v>
      </c>
      <c r="E231" s="126">
        <v>0.76150279479503424</v>
      </c>
      <c r="F231" s="126">
        <v>8.3266726846886741E-17</v>
      </c>
      <c r="G231" s="126">
        <v>-6.9388939039072284E-18</v>
      </c>
      <c r="H231" s="126">
        <v>1.5785983631388945E-16</v>
      </c>
      <c r="I231" s="126">
        <v>5.8980598183211441E-17</v>
      </c>
      <c r="J231" s="126">
        <v>4.163336342344337E-17</v>
      </c>
      <c r="K231" s="126">
        <v>0</v>
      </c>
      <c r="L231" s="126">
        <v>-2.6020852139652106E-17</v>
      </c>
    </row>
    <row r="232" spans="2:12">
      <c r="B232" s="6" t="s">
        <v>294</v>
      </c>
      <c r="C232" s="126">
        <v>4.4408920985006262E-16</v>
      </c>
      <c r="D232" s="126">
        <v>-1.7347234759768071E-16</v>
      </c>
      <c r="E232" s="126">
        <v>8.3266726846886741E-17</v>
      </c>
      <c r="F232" s="126">
        <v>0.51007174241929421</v>
      </c>
      <c r="G232" s="126">
        <v>3.4694469519536142E-17</v>
      </c>
      <c r="H232" s="126">
        <v>6.9388939039072284E-18</v>
      </c>
      <c r="I232" s="126">
        <v>1.1102230246251565E-16</v>
      </c>
      <c r="J232" s="126">
        <v>-7.6327832942979512E-17</v>
      </c>
      <c r="K232" s="126">
        <v>-6.9388939039072284E-18</v>
      </c>
      <c r="L232" s="126">
        <v>8.6736173798840355E-18</v>
      </c>
    </row>
    <row r="233" spans="2:12">
      <c r="B233" s="6" t="s">
        <v>295</v>
      </c>
      <c r="C233" s="126">
        <v>-3.6082248300317588E-16</v>
      </c>
      <c r="D233" s="126">
        <v>5.5511151231257827E-17</v>
      </c>
      <c r="E233" s="126">
        <v>-6.9388939039072284E-18</v>
      </c>
      <c r="F233" s="126">
        <v>3.4694469519536142E-17</v>
      </c>
      <c r="G233" s="126">
        <v>0.3386453709994911</v>
      </c>
      <c r="H233" s="126">
        <v>-3.3827107781547738E-17</v>
      </c>
      <c r="I233" s="126">
        <v>0</v>
      </c>
      <c r="J233" s="126">
        <v>-4.163336342344337E-17</v>
      </c>
      <c r="K233" s="126">
        <v>3.8163916471489756E-17</v>
      </c>
      <c r="L233" s="126">
        <v>6.591949208711867E-17</v>
      </c>
    </row>
    <row r="234" spans="2:12">
      <c r="B234" s="6" t="s">
        <v>416</v>
      </c>
      <c r="C234" s="126">
        <v>1.3530843112619095E-16</v>
      </c>
      <c r="D234" s="126">
        <v>3.3046482217358175E-16</v>
      </c>
      <c r="E234" s="126">
        <v>1.5785983631388945E-16</v>
      </c>
      <c r="F234" s="126">
        <v>6.9388939039072284E-18</v>
      </c>
      <c r="G234" s="126">
        <v>-3.3827107781547738E-17</v>
      </c>
      <c r="H234" s="126">
        <v>0.25433693369243393</v>
      </c>
      <c r="I234" s="126">
        <v>-3.3393426912553537E-17</v>
      </c>
      <c r="J234" s="126">
        <v>-2.6020852139652106E-18</v>
      </c>
      <c r="K234" s="126">
        <v>1.1275702593849246E-17</v>
      </c>
      <c r="L234" s="126">
        <v>-4.3368086899420177E-19</v>
      </c>
    </row>
    <row r="235" spans="2:12">
      <c r="B235" s="6" t="s">
        <v>417</v>
      </c>
      <c r="C235" s="126">
        <v>2.7755575615628914E-17</v>
      </c>
      <c r="D235" s="126">
        <v>-1.1622647289044608E-16</v>
      </c>
      <c r="E235" s="126">
        <v>5.8980598183211441E-17</v>
      </c>
      <c r="F235" s="126">
        <v>1.1102230246251565E-16</v>
      </c>
      <c r="G235" s="126">
        <v>0</v>
      </c>
      <c r="H235" s="126">
        <v>-3.3393426912553537E-17</v>
      </c>
      <c r="I235" s="126">
        <v>0.20697642718233031</v>
      </c>
      <c r="J235" s="126">
        <v>3.4694469519536142E-18</v>
      </c>
      <c r="K235" s="126">
        <v>-2.4286128663675299E-17</v>
      </c>
      <c r="L235" s="126">
        <v>1.0842021724855044E-17</v>
      </c>
    </row>
    <row r="236" spans="2:12">
      <c r="B236" s="6" t="s">
        <v>418</v>
      </c>
      <c r="C236" s="126">
        <v>-2.7755575615628914E-17</v>
      </c>
      <c r="D236" s="126">
        <v>1.5092094240998222E-16</v>
      </c>
      <c r="E236" s="126">
        <v>4.163336342344337E-17</v>
      </c>
      <c r="F236" s="126">
        <v>-7.6327832942979512E-17</v>
      </c>
      <c r="G236" s="126">
        <v>-4.163336342344337E-17</v>
      </c>
      <c r="H236" s="126">
        <v>-2.6020852139652106E-18</v>
      </c>
      <c r="I236" s="126">
        <v>3.4694469519536142E-18</v>
      </c>
      <c r="J236" s="126">
        <v>0.12743422400871554</v>
      </c>
      <c r="K236" s="126">
        <v>1.0408340855860843E-17</v>
      </c>
      <c r="L236" s="126">
        <v>-1.9081958235744878E-17</v>
      </c>
    </row>
    <row r="237" spans="2:12">
      <c r="B237" s="6" t="s">
        <v>419</v>
      </c>
      <c r="C237" s="126">
        <v>4.163336342344337E-17</v>
      </c>
      <c r="D237" s="126">
        <v>1.5612511283791264E-17</v>
      </c>
      <c r="E237" s="126">
        <v>0</v>
      </c>
      <c r="F237" s="126">
        <v>-6.9388939039072284E-18</v>
      </c>
      <c r="G237" s="126">
        <v>3.8163916471489756E-17</v>
      </c>
      <c r="H237" s="126">
        <v>1.1275702593849246E-17</v>
      </c>
      <c r="I237" s="126">
        <v>-2.4286128663675299E-17</v>
      </c>
      <c r="J237" s="126">
        <v>1.0408340855860843E-17</v>
      </c>
      <c r="K237" s="126">
        <v>8.8816921350392486E-2</v>
      </c>
      <c r="L237" s="126">
        <v>1.7347234759768071E-18</v>
      </c>
    </row>
    <row r="238" spans="2:12">
      <c r="B238" s="6" t="s">
        <v>420</v>
      </c>
      <c r="C238" s="126">
        <v>2.1510571102112408E-16</v>
      </c>
      <c r="D238" s="126">
        <v>-6.9388939039072284E-18</v>
      </c>
      <c r="E238" s="126">
        <v>-2.6020852139652106E-17</v>
      </c>
      <c r="F238" s="126">
        <v>8.6736173798840355E-18</v>
      </c>
      <c r="G238" s="126">
        <v>6.591949208711867E-17</v>
      </c>
      <c r="H238" s="126">
        <v>-4.3368086899420177E-19</v>
      </c>
      <c r="I238" s="126">
        <v>1.0842021724855044E-17</v>
      </c>
      <c r="J238" s="126">
        <v>-1.9081958235744878E-17</v>
      </c>
      <c r="K238" s="126">
        <v>1.7347234759768071E-18</v>
      </c>
      <c r="L238" s="126">
        <v>6.4423325187906222E-2</v>
      </c>
    </row>
    <row r="242" spans="1:13">
      <c r="A242" s="17" t="s">
        <v>461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1:13">
      <c r="B243" s="130"/>
    </row>
    <row r="245" spans="1:13">
      <c r="B245" s="6" t="s">
        <v>6</v>
      </c>
      <c r="C245" s="109" t="s">
        <v>428</v>
      </c>
      <c r="D245" s="2"/>
      <c r="E245" s="2"/>
      <c r="F245" s="2"/>
      <c r="G245" s="2"/>
      <c r="H245" s="2"/>
      <c r="I245" s="2"/>
      <c r="J245" s="2"/>
      <c r="K245" s="2"/>
      <c r="L245" s="2"/>
    </row>
    <row r="246" spans="1:13">
      <c r="C246" s="109" t="s">
        <v>462</v>
      </c>
      <c r="D246" s="2"/>
      <c r="E246" s="2"/>
      <c r="F246" s="2"/>
      <c r="G246" s="2"/>
      <c r="H246" s="2"/>
      <c r="I246" s="2"/>
      <c r="J246" s="2"/>
      <c r="K246" s="2"/>
      <c r="L246" s="2"/>
    </row>
    <row r="247" spans="1:13">
      <c r="C247" s="109" t="s">
        <v>463</v>
      </c>
      <c r="D247" s="2"/>
      <c r="E247" s="2"/>
      <c r="F247" s="2"/>
      <c r="G247" s="2"/>
      <c r="H247" s="2"/>
      <c r="I247" s="2"/>
      <c r="J247" s="2"/>
      <c r="K247" s="2"/>
      <c r="L247" s="2"/>
    </row>
    <row r="248" spans="1:13">
      <c r="C248" s="109" t="s">
        <v>429</v>
      </c>
      <c r="D248" s="2"/>
      <c r="E248" s="2"/>
      <c r="F248" s="2"/>
      <c r="G248" s="2"/>
      <c r="H248" s="2"/>
      <c r="I248" s="2"/>
      <c r="J248" s="2"/>
      <c r="K248" s="2"/>
      <c r="L248" s="2"/>
    </row>
    <row r="249" spans="1:13">
      <c r="C249" s="109"/>
      <c r="D249" s="2"/>
      <c r="E249" s="2"/>
      <c r="F249" s="2"/>
      <c r="G249" s="2"/>
      <c r="H249" s="2"/>
      <c r="I249" s="2"/>
      <c r="J249" s="2"/>
      <c r="K249" s="2"/>
      <c r="L249" s="2"/>
    </row>
    <row r="250" spans="1:13">
      <c r="B250" s="142" t="s">
        <v>48</v>
      </c>
      <c r="C250" s="142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1:13">
      <c r="B251" s="6"/>
      <c r="C251" s="6" t="s">
        <v>291</v>
      </c>
      <c r="D251" s="6" t="s">
        <v>292</v>
      </c>
      <c r="E251" s="6" t="s">
        <v>293</v>
      </c>
      <c r="F251" s="6" t="s">
        <v>294</v>
      </c>
      <c r="G251" s="6" t="s">
        <v>295</v>
      </c>
      <c r="H251" s="6" t="s">
        <v>416</v>
      </c>
      <c r="I251" s="6" t="s">
        <v>417</v>
      </c>
      <c r="J251" s="6" t="s">
        <v>418</v>
      </c>
      <c r="K251" s="6" t="s">
        <v>419</v>
      </c>
      <c r="L251" s="6" t="s">
        <v>420</v>
      </c>
    </row>
    <row r="252" spans="1:13">
      <c r="B252" s="6" t="s">
        <v>296</v>
      </c>
      <c r="C252" s="8">
        <v>1.5880742355156794</v>
      </c>
      <c r="D252" s="8">
        <v>-0.87658759794939489</v>
      </c>
      <c r="E252" s="8">
        <v>-1.0316671290447474</v>
      </c>
      <c r="F252" s="8">
        <v>-1.1047699004207574</v>
      </c>
      <c r="G252" s="8">
        <v>0.99368552199773685</v>
      </c>
      <c r="H252" s="8">
        <v>-1.0356852200021254</v>
      </c>
      <c r="I252" s="8">
        <v>-1.0958921022214103</v>
      </c>
      <c r="J252" s="8">
        <v>0.62704172279684034</v>
      </c>
      <c r="K252" s="8">
        <v>-0.34731448110700702</v>
      </c>
      <c r="L252" s="8">
        <v>0.31486777027853952</v>
      </c>
    </row>
    <row r="253" spans="1:13">
      <c r="B253" s="6" t="s">
        <v>297</v>
      </c>
      <c r="C253" s="8">
        <v>1.1411527844528262</v>
      </c>
      <c r="D253" s="8">
        <v>0.45499386769313888</v>
      </c>
      <c r="E253" s="8">
        <v>-2.4126142049027202</v>
      </c>
      <c r="F253" s="8">
        <v>-0.19397271206493613</v>
      </c>
      <c r="G253" s="8">
        <v>0.85510454168743211</v>
      </c>
      <c r="H253" s="8">
        <v>-7.7257408285477752E-2</v>
      </c>
      <c r="I253" s="8">
        <v>-1.3440806539942642</v>
      </c>
      <c r="J253" s="8">
        <v>-5.9794157109091223E-2</v>
      </c>
      <c r="K253" s="8">
        <v>-0.56967597685206572</v>
      </c>
      <c r="L253" s="8">
        <v>0.66033714374533736</v>
      </c>
    </row>
    <row r="254" spans="1:13">
      <c r="B254" s="6" t="s">
        <v>298</v>
      </c>
      <c r="C254" s="8">
        <v>0.97184538928735009</v>
      </c>
      <c r="D254" s="8">
        <v>0.49820071587036552</v>
      </c>
      <c r="E254" s="8">
        <v>1.799739307520791</v>
      </c>
      <c r="F254" s="8">
        <v>-1.8920985848274565</v>
      </c>
      <c r="G254" s="8">
        <v>1.3277469448691863</v>
      </c>
      <c r="H254" s="8">
        <v>0.35659123741385229</v>
      </c>
      <c r="I254" s="8">
        <v>-1.9582790417506062</v>
      </c>
      <c r="J254" s="8">
        <v>-1.0531510076433976</v>
      </c>
      <c r="K254" s="8">
        <v>0.62271682854129951</v>
      </c>
      <c r="L254" s="8">
        <v>0.98288017586771848</v>
      </c>
    </row>
    <row r="255" spans="1:13">
      <c r="B255" s="6" t="s">
        <v>299</v>
      </c>
      <c r="C255" s="8">
        <v>0.26767700413882889</v>
      </c>
      <c r="D255" s="8">
        <v>0.49118847275273103</v>
      </c>
      <c r="E255" s="8">
        <v>2.1308382737489264</v>
      </c>
      <c r="F255" s="8">
        <v>-0.24004370108718601</v>
      </c>
      <c r="G255" s="8">
        <v>0.22962581694403422</v>
      </c>
      <c r="H255" s="8">
        <v>-1.2503046871894523</v>
      </c>
      <c r="I255" s="8">
        <v>0.52807580949252919</v>
      </c>
      <c r="J255" s="8">
        <v>1.6993642319477922</v>
      </c>
      <c r="K255" s="8">
        <v>0.21093592314398527</v>
      </c>
      <c r="L255" s="8">
        <v>-0.65130887078020516</v>
      </c>
    </row>
    <row r="256" spans="1:13">
      <c r="B256" s="6" t="s">
        <v>300</v>
      </c>
      <c r="C256" s="8">
        <v>1.0183831736299425</v>
      </c>
      <c r="D256" s="8">
        <v>0.72147035666463044</v>
      </c>
      <c r="E256" s="8">
        <v>2.5747515567910724</v>
      </c>
      <c r="F256" s="8">
        <v>-0.89587827921525309</v>
      </c>
      <c r="G256" s="8">
        <v>0.46674185054389766</v>
      </c>
      <c r="H256" s="8">
        <v>8.2513358937830836E-2</v>
      </c>
      <c r="I256" s="8">
        <v>-0.6468880248250749</v>
      </c>
      <c r="J256" s="8">
        <v>-0.15119389527840646</v>
      </c>
      <c r="K256" s="8">
        <v>-0.45581548498466301</v>
      </c>
      <c r="L256" s="8">
        <v>2.4455785887196044</v>
      </c>
    </row>
    <row r="257" spans="2:12">
      <c r="B257" s="6" t="s">
        <v>301</v>
      </c>
      <c r="C257" s="8">
        <v>-0.25702807443789211</v>
      </c>
      <c r="D257" s="8">
        <v>1.9578782508757198</v>
      </c>
      <c r="E257" s="8">
        <v>-0.57109419067915479</v>
      </c>
      <c r="F257" s="8">
        <v>-0.62847942977786897</v>
      </c>
      <c r="G257" s="8">
        <v>0.67678458014365062</v>
      </c>
      <c r="H257" s="8">
        <v>0.88858462143967454</v>
      </c>
      <c r="I257" s="8">
        <v>-1.1116911118898887</v>
      </c>
      <c r="J257" s="8">
        <v>0.3708208073216353</v>
      </c>
      <c r="K257" s="8">
        <v>-0.28351326247430336</v>
      </c>
      <c r="L257" s="8">
        <v>-1.785814952515177</v>
      </c>
    </row>
    <row r="258" spans="2:12">
      <c r="B258" s="6" t="s">
        <v>302</v>
      </c>
      <c r="C258" s="8">
        <v>1.5072421516325389</v>
      </c>
      <c r="D258" s="8">
        <v>0.11966365592769387</v>
      </c>
      <c r="E258" s="8">
        <v>1.288312658919553</v>
      </c>
      <c r="F258" s="8">
        <v>-1.3367416331292727</v>
      </c>
      <c r="G258" s="8">
        <v>-1.6148889456186539</v>
      </c>
      <c r="H258" s="8">
        <v>-1.9942330416852838</v>
      </c>
      <c r="I258" s="8">
        <v>1.4022975684743975</v>
      </c>
      <c r="J258" s="8">
        <v>-1.0124348297731938</v>
      </c>
      <c r="K258" s="8">
        <v>-1.6708058296224675</v>
      </c>
      <c r="L258" s="8">
        <v>0.72557161022413752</v>
      </c>
    </row>
    <row r="259" spans="2:12">
      <c r="B259" s="6" t="s">
        <v>303</v>
      </c>
      <c r="C259" s="8">
        <v>0.36158747153377868</v>
      </c>
      <c r="D259" s="8">
        <v>2.3457273490152977</v>
      </c>
      <c r="E259" s="8">
        <v>-1.0730145765195667</v>
      </c>
      <c r="F259" s="8">
        <v>0.28430000587162824</v>
      </c>
      <c r="G259" s="8">
        <v>-3.0478782278461249</v>
      </c>
      <c r="H259" s="8">
        <v>-0.79819042671741536</v>
      </c>
      <c r="I259" s="8">
        <v>-0.11039962275631694</v>
      </c>
      <c r="J259" s="8">
        <v>-0.2453405978361117</v>
      </c>
      <c r="K259" s="8">
        <v>-0.2975968560412201</v>
      </c>
      <c r="L259" s="8">
        <v>1.0146772915429727</v>
      </c>
    </row>
    <row r="260" spans="2:12">
      <c r="B260" s="6" t="s">
        <v>304</v>
      </c>
      <c r="C260" s="8">
        <v>1.026256560812731</v>
      </c>
      <c r="D260" s="8">
        <v>3.3436621633136362E-2</v>
      </c>
      <c r="E260" s="8">
        <v>-0.42042434834864745</v>
      </c>
      <c r="F260" s="8">
        <v>0.69279930030111037</v>
      </c>
      <c r="G260" s="8">
        <v>-0.19591333791457735</v>
      </c>
      <c r="H260" s="8">
        <v>-0.22723520422092625</v>
      </c>
      <c r="I260" s="8">
        <v>0.79950288709028972</v>
      </c>
      <c r="J260" s="8">
        <v>0.24948137785562041</v>
      </c>
      <c r="K260" s="8">
        <v>-0.44169497691984011</v>
      </c>
      <c r="L260" s="8">
        <v>-0.78906994121301366</v>
      </c>
    </row>
    <row r="261" spans="2:12">
      <c r="B261" s="6" t="s">
        <v>305</v>
      </c>
      <c r="C261" s="8">
        <v>0.54589358407101307</v>
      </c>
      <c r="D261" s="8">
        <v>2.9833165967924985E-2</v>
      </c>
      <c r="E261" s="8">
        <v>-0.71213173730549317</v>
      </c>
      <c r="F261" s="8">
        <v>1.1646818164920434</v>
      </c>
      <c r="G261" s="8">
        <v>0.68831376131517996</v>
      </c>
      <c r="H261" s="8">
        <v>-0.43213792536657086</v>
      </c>
      <c r="I261" s="8">
        <v>0.90261158190331858</v>
      </c>
      <c r="J261" s="8">
        <v>0.96662255236555872</v>
      </c>
      <c r="K261" s="8">
        <v>0.48792710614650869</v>
      </c>
      <c r="L261" s="8">
        <v>-0.8886472360057327</v>
      </c>
    </row>
    <row r="262" spans="2:12">
      <c r="B262" s="6" t="s">
        <v>306</v>
      </c>
      <c r="C262" s="8">
        <v>1.5881423098704583</v>
      </c>
      <c r="D262" s="8">
        <v>-0.43278899592900549</v>
      </c>
      <c r="E262" s="8">
        <v>2.0708186683066336</v>
      </c>
      <c r="F262" s="8">
        <v>0.16410286184107731</v>
      </c>
      <c r="G262" s="8">
        <v>4.5204206546962153E-2</v>
      </c>
      <c r="H262" s="8">
        <v>-0.45390323285071588</v>
      </c>
      <c r="I262" s="8">
        <v>-0.65781813824037982</v>
      </c>
      <c r="J262" s="8">
        <v>0.76284623333822132</v>
      </c>
      <c r="K262" s="8">
        <v>-0.73485230526931744</v>
      </c>
      <c r="L262" s="8">
        <v>1.1582696521766067</v>
      </c>
    </row>
    <row r="263" spans="2:12">
      <c r="B263" s="6" t="s">
        <v>307</v>
      </c>
      <c r="C263" s="8">
        <v>0.93867983948312461</v>
      </c>
      <c r="D263" s="8">
        <v>-0.99314152282317192</v>
      </c>
      <c r="E263" s="8">
        <v>-0.79257135553117442</v>
      </c>
      <c r="F263" s="8">
        <v>-0.48085128037147123</v>
      </c>
      <c r="G263" s="8">
        <v>-0.23063252252295202</v>
      </c>
      <c r="H263" s="8">
        <v>-1.6151723597947074</v>
      </c>
      <c r="I263" s="8">
        <v>-0.82967262006516562</v>
      </c>
      <c r="J263" s="8">
        <v>-1.8123466635257865</v>
      </c>
      <c r="K263" s="8">
        <v>-1.654035104483228</v>
      </c>
      <c r="L263" s="8">
        <v>-3.2536048513691719E-2</v>
      </c>
    </row>
    <row r="264" spans="2:12">
      <c r="B264" s="6" t="s">
        <v>308</v>
      </c>
      <c r="C264" s="8">
        <v>-2.337272995925979</v>
      </c>
      <c r="D264" s="8">
        <v>0.24686746409897892</v>
      </c>
      <c r="E264" s="8">
        <v>-0.69865714589379824</v>
      </c>
      <c r="F264" s="8">
        <v>-1.3707826776203658</v>
      </c>
      <c r="G264" s="8">
        <v>-0.60330710196892767</v>
      </c>
      <c r="H264" s="8">
        <v>0.26568522114933729</v>
      </c>
      <c r="I264" s="8">
        <v>1.3042037512101554</v>
      </c>
      <c r="J264" s="8">
        <v>0.73107289213801774</v>
      </c>
      <c r="K264" s="8">
        <v>0.97447422384585991</v>
      </c>
      <c r="L264" s="8">
        <v>9.1372889395782614E-2</v>
      </c>
    </row>
    <row r="265" spans="2:12">
      <c r="B265" s="6" t="s">
        <v>309</v>
      </c>
      <c r="C265" s="8">
        <v>-1.5056284898644958</v>
      </c>
      <c r="D265" s="8">
        <v>0.6320000320407636</v>
      </c>
      <c r="E265" s="8">
        <v>1.5638550292194244</v>
      </c>
      <c r="F265" s="8">
        <v>-1.8642923427284446</v>
      </c>
      <c r="G265" s="8">
        <v>-0.97691614933606641</v>
      </c>
      <c r="H265" s="8">
        <v>-1.2792816337778357</v>
      </c>
      <c r="I265" s="8">
        <v>-0.24581071743619767</v>
      </c>
      <c r="J265" s="8">
        <v>1.5214746082127737</v>
      </c>
      <c r="K265" s="8">
        <v>-1.0141628616706804</v>
      </c>
      <c r="L265" s="8">
        <v>0.25878029907460953</v>
      </c>
    </row>
    <row r="266" spans="2:12">
      <c r="B266" s="6" t="s">
        <v>310</v>
      </c>
      <c r="C266" s="8">
        <v>-2.2640162109723292</v>
      </c>
      <c r="D266" s="8">
        <v>2.0409558689104621</v>
      </c>
      <c r="E266" s="8">
        <v>2.4334363174093103</v>
      </c>
      <c r="F266" s="8">
        <v>-0.51823126497147076</v>
      </c>
      <c r="G266" s="8">
        <v>-0.17373991634526265</v>
      </c>
      <c r="H266" s="8">
        <v>-1.0698523112439873</v>
      </c>
      <c r="I266" s="8">
        <v>1.4330823210469972</v>
      </c>
      <c r="J266" s="8">
        <v>0.77708347862036964</v>
      </c>
      <c r="K266" s="8">
        <v>-4.4332697211990409E-2</v>
      </c>
      <c r="L266" s="8">
        <v>-1.7912811579937915</v>
      </c>
    </row>
    <row r="267" spans="2:12">
      <c r="B267" s="6" t="s">
        <v>311</v>
      </c>
      <c r="C267" s="8">
        <v>0.13994354568158071</v>
      </c>
      <c r="D267" s="8">
        <v>0.22651437764895671</v>
      </c>
      <c r="E267" s="8">
        <v>-0.12304888880419261</v>
      </c>
      <c r="F267" s="8">
        <v>0.33981335648513272</v>
      </c>
      <c r="G267" s="8">
        <v>-1.3422445013080782</v>
      </c>
      <c r="H267" s="8">
        <v>1.2768773095572281</v>
      </c>
      <c r="I267" s="8">
        <v>-2.3831904516613496</v>
      </c>
      <c r="J267" s="8">
        <v>0.73742322850726227</v>
      </c>
      <c r="K267" s="8">
        <v>-0.13320267927214355</v>
      </c>
      <c r="L267" s="8">
        <v>-1.0411622047986233</v>
      </c>
    </row>
    <row r="268" spans="2:12">
      <c r="B268" s="6" t="s">
        <v>312</v>
      </c>
      <c r="C268" s="8">
        <v>-0.89841152776117261</v>
      </c>
      <c r="D268" s="8">
        <v>2.9896281215550623E-3</v>
      </c>
      <c r="E268" s="8">
        <v>0.23583779358622387</v>
      </c>
      <c r="F268" s="8">
        <v>0.18067832679032461</v>
      </c>
      <c r="G268" s="8">
        <v>-1.1541134347621416</v>
      </c>
      <c r="H268" s="8">
        <v>0.56877944532158142</v>
      </c>
      <c r="I268" s="8">
        <v>-1.2002703623045841</v>
      </c>
      <c r="J268" s="8">
        <v>-0.16261987361397789</v>
      </c>
      <c r="K268" s="8">
        <v>-0.62862231166059834</v>
      </c>
      <c r="L268" s="8">
        <v>1.3133062849220121</v>
      </c>
    </row>
    <row r="269" spans="2:12">
      <c r="B269" s="6" t="s">
        <v>313</v>
      </c>
      <c r="C269" s="8">
        <v>1.2151912222236372</v>
      </c>
      <c r="D269" s="8">
        <v>1.4053806464370335</v>
      </c>
      <c r="E269" s="8">
        <v>4.480732221451552E-2</v>
      </c>
      <c r="F269" s="8">
        <v>-0.83171946937688557</v>
      </c>
      <c r="G269" s="8">
        <v>0.28282607413395044</v>
      </c>
      <c r="H269" s="8">
        <v>1.6487776020998328</v>
      </c>
      <c r="I269" s="8">
        <v>-1.3398621232532801</v>
      </c>
      <c r="J269" s="8">
        <v>-0.17109595256544927</v>
      </c>
      <c r="K269" s="8">
        <v>1.1164105753694036</v>
      </c>
      <c r="L269" s="8">
        <v>-2.7356813486549496E-2</v>
      </c>
    </row>
    <row r="270" spans="2:12">
      <c r="B270" s="6" t="s">
        <v>314</v>
      </c>
      <c r="C270" s="8">
        <v>-0.18820695907729612</v>
      </c>
      <c r="D270" s="8">
        <v>-0.64368492465722327</v>
      </c>
      <c r="E270" s="8">
        <v>-2.1262084088763191</v>
      </c>
      <c r="F270" s="8">
        <v>2.4164378247800693</v>
      </c>
      <c r="G270" s="8">
        <v>0.42118539133067318</v>
      </c>
      <c r="H270" s="8">
        <v>-1.5227861340414603</v>
      </c>
      <c r="I270" s="8">
        <v>0.4381682724569872</v>
      </c>
      <c r="J270" s="8">
        <v>0.47140572848356355</v>
      </c>
      <c r="K270" s="8">
        <v>-2.4838829270645766</v>
      </c>
      <c r="L270" s="8">
        <v>0.70915823824371826</v>
      </c>
    </row>
    <row r="271" spans="2:12">
      <c r="B271" s="6" t="s">
        <v>315</v>
      </c>
      <c r="C271" s="8">
        <v>3.7555794795575914E-2</v>
      </c>
      <c r="D271" s="8">
        <v>1.1776895910156209</v>
      </c>
      <c r="E271" s="8">
        <v>-0.34527455342189634</v>
      </c>
      <c r="F271" s="8">
        <v>-0.19762571156740921</v>
      </c>
      <c r="G271" s="8">
        <v>1.4803493919617783</v>
      </c>
      <c r="H271" s="8">
        <v>1.5125092786003891</v>
      </c>
      <c r="I271" s="8">
        <v>-1.0088505747586192</v>
      </c>
      <c r="J271" s="8">
        <v>-0.80886852022301658</v>
      </c>
      <c r="K271" s="8">
        <v>-0.69623941399706168</v>
      </c>
      <c r="L271" s="8">
        <v>-0.28584477170437955</v>
      </c>
    </row>
    <row r="272" spans="2:12">
      <c r="B272" s="6" t="s">
        <v>316</v>
      </c>
      <c r="C272" s="8">
        <v>1.7096365918535668</v>
      </c>
      <c r="D272" s="8">
        <v>-2.7952633019636188</v>
      </c>
      <c r="E272" s="8">
        <v>-0.85847325987008416</v>
      </c>
      <c r="F272" s="8">
        <v>0.40079401946028287</v>
      </c>
      <c r="G272" s="8">
        <v>0.4898825785280474</v>
      </c>
      <c r="H272" s="8">
        <v>1.2495278427955714</v>
      </c>
      <c r="I272" s="8">
        <v>-0.43145081030906712</v>
      </c>
      <c r="J272" s="8">
        <v>-2.0890905037671081</v>
      </c>
      <c r="K272" s="8">
        <v>0.44521725604722145</v>
      </c>
      <c r="L272" s="8">
        <v>-1.5485936780046807</v>
      </c>
    </row>
    <row r="273" spans="1:13">
      <c r="B273" s="6" t="s">
        <v>317</v>
      </c>
      <c r="C273" s="8">
        <v>0.58780891231525068</v>
      </c>
      <c r="D273" s="8">
        <v>0.42817578948796775</v>
      </c>
      <c r="E273" s="8">
        <v>0.20041427474202378</v>
      </c>
      <c r="F273" s="8">
        <v>6.4311992026862511E-2</v>
      </c>
      <c r="G273" s="8">
        <v>-2.263731607740207</v>
      </c>
      <c r="H273" s="8">
        <v>-0.76363028196224103</v>
      </c>
      <c r="I273" s="8">
        <v>-1.8805885795901915E-2</v>
      </c>
      <c r="J273" s="8">
        <v>-1.0620184205919376</v>
      </c>
      <c r="K273" s="8">
        <v>2.2672851932493341</v>
      </c>
      <c r="L273" s="8">
        <v>-1.8561843470525992</v>
      </c>
    </row>
    <row r="274" spans="1:13">
      <c r="B274" s="6" t="s">
        <v>318</v>
      </c>
      <c r="C274" s="8">
        <v>-0.93214270675741973</v>
      </c>
      <c r="D274" s="8">
        <v>-0.14419063435815263</v>
      </c>
      <c r="E274" s="8">
        <v>0.72055796683329543</v>
      </c>
      <c r="F274" s="8">
        <v>-0.35455962265519608</v>
      </c>
      <c r="G274" s="8">
        <v>0.65947707950315682</v>
      </c>
      <c r="H274" s="8">
        <v>0.32549947005343349</v>
      </c>
      <c r="I274" s="8">
        <v>-2.0667492007590487</v>
      </c>
      <c r="J274" s="8">
        <v>-0.41982898887834147</v>
      </c>
      <c r="K274" s="8">
        <v>0.88854718709458425</v>
      </c>
      <c r="L274" s="8">
        <v>0.62656322407420073</v>
      </c>
    </row>
    <row r="275" spans="1:13">
      <c r="B275" s="6" t="s">
        <v>319</v>
      </c>
      <c r="C275" s="8">
        <v>-0.51226576164506166</v>
      </c>
      <c r="D275" s="8">
        <v>-0.30863750655027161</v>
      </c>
      <c r="E275" s="8">
        <v>0.62189730938095966</v>
      </c>
      <c r="F275" s="8">
        <v>0.44956756065044379</v>
      </c>
      <c r="G275" s="8">
        <v>1.1803028095706336</v>
      </c>
      <c r="H275" s="8">
        <v>2.1328730963274629</v>
      </c>
      <c r="I275" s="8">
        <v>0.94611176017139975</v>
      </c>
      <c r="J275" s="8">
        <v>2.5581070010094936E-2</v>
      </c>
      <c r="K275" s="8">
        <v>-0.93725892180884174</v>
      </c>
      <c r="L275" s="8">
        <v>0.39808329774784201</v>
      </c>
    </row>
    <row r="276" spans="1:13">
      <c r="B276" s="6" t="s">
        <v>320</v>
      </c>
      <c r="C276" s="8">
        <v>-1.0568078868470379</v>
      </c>
      <c r="D276" s="8">
        <v>0.31303488515551559</v>
      </c>
      <c r="E276" s="8">
        <v>1.554277923449402</v>
      </c>
      <c r="F276" s="8">
        <v>1.0803017524400704</v>
      </c>
      <c r="G276" s="8">
        <v>-0.40799877216005531</v>
      </c>
      <c r="H276" s="8">
        <v>0.85485740471146587</v>
      </c>
      <c r="I276" s="8">
        <v>-0.81105807624578319</v>
      </c>
      <c r="J276" s="8">
        <v>0.82423947618167914</v>
      </c>
      <c r="K276" s="8">
        <v>9.3413530525729718E-2</v>
      </c>
      <c r="L276" s="8">
        <v>-2.8341684436478167</v>
      </c>
    </row>
    <row r="277" spans="1:13">
      <c r="B277" s="6" t="s">
        <v>321</v>
      </c>
      <c r="C277" s="8">
        <v>0.9100952197384925</v>
      </c>
      <c r="D277" s="8">
        <v>-1.1782778476504179</v>
      </c>
      <c r="E277" s="8">
        <v>0.50385900726683175</v>
      </c>
      <c r="F277" s="8">
        <v>0.47379003753108423</v>
      </c>
      <c r="G277" s="8">
        <v>1.629871433759134</v>
      </c>
      <c r="H277" s="8">
        <v>0.79847754476216704</v>
      </c>
      <c r="I277" s="8">
        <v>-0.41358764174951074</v>
      </c>
      <c r="J277" s="8">
        <v>0.68077425329193919</v>
      </c>
      <c r="K277" s="8">
        <v>0.25400979055297418</v>
      </c>
      <c r="L277" s="8">
        <v>1.0274288953553807</v>
      </c>
    </row>
    <row r="278" spans="1:13">
      <c r="B278" s="6" t="s">
        <v>322</v>
      </c>
      <c r="C278" s="8">
        <v>-1.2576476365217792</v>
      </c>
      <c r="D278" s="8">
        <v>6.4243536863465039E-2</v>
      </c>
      <c r="E278" s="8">
        <v>-8.1883506854513288E-2</v>
      </c>
      <c r="F278" s="8">
        <v>0.16607496151449674</v>
      </c>
      <c r="G278" s="8">
        <v>0.41952809360480425</v>
      </c>
      <c r="H278" s="8">
        <v>-1.0390527994289078</v>
      </c>
      <c r="I278" s="8">
        <v>0.14502313663998689</v>
      </c>
      <c r="J278" s="8">
        <v>-0.85771872858856912</v>
      </c>
      <c r="K278" s="8">
        <v>-1.7790765062140923</v>
      </c>
      <c r="L278" s="8">
        <v>2.3008604216642929</v>
      </c>
    </row>
    <row r="279" spans="1:13">
      <c r="B279" s="6" t="s">
        <v>323</v>
      </c>
      <c r="C279" s="8">
        <v>-4.940195048578775E-2</v>
      </c>
      <c r="D279" s="8">
        <v>0.54511529049019725</v>
      </c>
      <c r="E279" s="8">
        <v>-0.2895677653152865</v>
      </c>
      <c r="F279" s="8">
        <v>-0.50755458910137508</v>
      </c>
      <c r="G279" s="8">
        <v>0.61863121608326643</v>
      </c>
      <c r="H279" s="8">
        <v>0.15532661884528201</v>
      </c>
      <c r="I279" s="8">
        <v>1.2060130610399498</v>
      </c>
      <c r="J279" s="8">
        <v>-1.5091236674525463</v>
      </c>
      <c r="K279" s="8">
        <v>0.90461074314144807</v>
      </c>
      <c r="L279" s="8">
        <v>0.13170662574026112</v>
      </c>
    </row>
    <row r="280" spans="1:13">
      <c r="B280" s="6" t="s">
        <v>324</v>
      </c>
      <c r="C280" s="8">
        <v>-0.21556647363204884</v>
      </c>
      <c r="D280" s="8">
        <v>-6.3787184130696103E-2</v>
      </c>
      <c r="E280" s="8">
        <v>-1.7436506247267405</v>
      </c>
      <c r="F280" s="8">
        <v>-0.40429285140598914</v>
      </c>
      <c r="G280" s="8">
        <v>-2.3182262195976326</v>
      </c>
      <c r="H280" s="8">
        <v>-0.13835621489935965</v>
      </c>
      <c r="I280" s="8">
        <v>0.9253974436698772</v>
      </c>
      <c r="J280" s="8">
        <v>-2.0631239987997752E-2</v>
      </c>
      <c r="K280" s="8">
        <v>1.8080482387900678</v>
      </c>
      <c r="L280" s="8">
        <v>8.3419324746189863E-2</v>
      </c>
    </row>
    <row r="281" spans="1:13">
      <c r="B281" s="6" t="s">
        <v>325</v>
      </c>
      <c r="C281" s="8">
        <v>-0.5684376058436218</v>
      </c>
      <c r="D281" s="8">
        <v>-1.4909728038020384</v>
      </c>
      <c r="E281" s="8">
        <v>0.70958177886536689</v>
      </c>
      <c r="F281" s="8">
        <v>0.59082222203752899</v>
      </c>
      <c r="G281" s="8">
        <v>0.25409297816119042</v>
      </c>
      <c r="H281" s="8">
        <v>1.3603212745905873</v>
      </c>
      <c r="I281" s="8">
        <v>1.0402287732900928</v>
      </c>
      <c r="J281" s="8">
        <v>1.5087384753351685</v>
      </c>
      <c r="K281" s="8">
        <v>-0.24961751900338672</v>
      </c>
      <c r="L281" s="8">
        <v>-0.12093496091447345</v>
      </c>
    </row>
    <row r="285" spans="1:13">
      <c r="A285" s="17" t="s">
        <v>464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1:13">
      <c r="B286" s="131"/>
    </row>
    <row r="287" spans="1:13">
      <c r="B287" s="131"/>
    </row>
    <row r="288" spans="1:13">
      <c r="B288" s="6" t="s">
        <v>6</v>
      </c>
      <c r="C288" s="109" t="s">
        <v>465</v>
      </c>
      <c r="D288" s="2"/>
      <c r="E288" s="2"/>
      <c r="F288" s="2"/>
      <c r="G288" s="2"/>
      <c r="H288" s="2"/>
      <c r="I288" s="2"/>
      <c r="J288" s="2"/>
      <c r="K288" s="2"/>
      <c r="L288" s="2"/>
    </row>
    <row r="289" spans="2:12">
      <c r="B289" s="6"/>
      <c r="C289" s="109" t="s">
        <v>466</v>
      </c>
      <c r="D289" s="2"/>
      <c r="E289" s="2"/>
      <c r="F289" s="2"/>
      <c r="G289" s="2"/>
      <c r="H289" s="2"/>
      <c r="I289" s="2"/>
      <c r="J289" s="2"/>
      <c r="K289" s="2"/>
      <c r="L289" s="2"/>
    </row>
    <row r="290" spans="2:12">
      <c r="C290" s="109" t="s">
        <v>430</v>
      </c>
      <c r="D290" s="2"/>
      <c r="E290" s="2"/>
      <c r="F290" s="2"/>
      <c r="G290" s="2"/>
      <c r="H290" s="2"/>
      <c r="I290" s="2"/>
      <c r="J290" s="2"/>
      <c r="K290" s="2"/>
      <c r="L290" s="2"/>
    </row>
    <row r="291" spans="2:12">
      <c r="C291" s="109" t="s">
        <v>467</v>
      </c>
      <c r="D291" s="2"/>
      <c r="E291" s="2"/>
      <c r="F291" s="2"/>
      <c r="G291" s="2"/>
      <c r="H291" s="2"/>
      <c r="I291" s="2"/>
      <c r="J291" s="2"/>
      <c r="K291" s="2"/>
      <c r="L291" s="2"/>
    </row>
    <row r="292" spans="2:12">
      <c r="C292" s="109" t="s">
        <v>468</v>
      </c>
      <c r="D292" s="2"/>
      <c r="E292" s="2"/>
      <c r="F292" s="2"/>
      <c r="G292" s="2"/>
      <c r="H292" s="2"/>
      <c r="I292" s="2"/>
      <c r="J292" s="2"/>
      <c r="K292" s="2"/>
      <c r="L292" s="2"/>
    </row>
    <row r="293" spans="2:12">
      <c r="C293" s="109"/>
      <c r="D293" s="2"/>
      <c r="E293" s="2"/>
      <c r="F293" s="2"/>
      <c r="G293" s="2"/>
      <c r="H293" s="2"/>
      <c r="I293" s="2"/>
      <c r="J293" s="2"/>
      <c r="K293" s="2"/>
      <c r="L293" s="2"/>
    </row>
    <row r="295" spans="2:12">
      <c r="C295" s="142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6" t="s">
        <v>338</v>
      </c>
      <c r="C296" s="6" t="s">
        <v>291</v>
      </c>
      <c r="D296" s="6" t="s">
        <v>292</v>
      </c>
      <c r="E296" s="6" t="s">
        <v>293</v>
      </c>
      <c r="F296" s="6" t="s">
        <v>294</v>
      </c>
      <c r="G296" s="6" t="s">
        <v>295</v>
      </c>
      <c r="H296" s="6" t="s">
        <v>416</v>
      </c>
      <c r="I296" s="6" t="s">
        <v>417</v>
      </c>
      <c r="J296" s="6" t="s">
        <v>418</v>
      </c>
      <c r="K296" s="6" t="s">
        <v>419</v>
      </c>
      <c r="L296" s="6" t="s">
        <v>420</v>
      </c>
    </row>
    <row r="297" spans="2:12">
      <c r="B297" s="6" t="s">
        <v>291</v>
      </c>
      <c r="C297" s="8">
        <v>1</v>
      </c>
      <c r="D297" s="8">
        <v>-0.3000297128574706</v>
      </c>
      <c r="E297" s="8">
        <v>-0.14203396790640205</v>
      </c>
      <c r="F297" s="8">
        <v>1.3473052214306988E-2</v>
      </c>
      <c r="G297" s="8">
        <v>0.1409793862238139</v>
      </c>
      <c r="H297" s="8">
        <v>-4.0411876749264754E-2</v>
      </c>
      <c r="I297" s="8">
        <v>-0.27538926217717136</v>
      </c>
      <c r="J297" s="8">
        <v>-0.34467286304532524</v>
      </c>
      <c r="K297" s="8">
        <v>-1.2904840543889382E-2</v>
      </c>
      <c r="L297" s="8">
        <v>0.13689922042031394</v>
      </c>
    </row>
    <row r="298" spans="2:12">
      <c r="B298" s="6" t="s">
        <v>292</v>
      </c>
      <c r="C298" s="8">
        <v>-0.3000297128574706</v>
      </c>
      <c r="D298" s="8">
        <v>1</v>
      </c>
      <c r="E298" s="8">
        <v>0.17060645008182132</v>
      </c>
      <c r="F298" s="8">
        <v>-0.29753175379787444</v>
      </c>
      <c r="G298" s="8">
        <v>-0.25677903894825443</v>
      </c>
      <c r="H298" s="8">
        <v>-8.4346039491936323E-2</v>
      </c>
      <c r="I298" s="8">
        <v>-3.5228767683055717E-2</v>
      </c>
      <c r="J298" s="8">
        <v>0.14224772284846141</v>
      </c>
      <c r="K298" s="8">
        <v>0.10642073529255214</v>
      </c>
      <c r="L298" s="8">
        <v>-6.9911987341575721E-2</v>
      </c>
    </row>
    <row r="299" spans="2:12">
      <c r="B299" s="6" t="s">
        <v>293</v>
      </c>
      <c r="C299" s="8">
        <v>-0.14203396790640205</v>
      </c>
      <c r="D299" s="8">
        <v>0.17060645008182132</v>
      </c>
      <c r="E299" s="8">
        <v>1</v>
      </c>
      <c r="F299" s="8">
        <v>-0.32353290836267562</v>
      </c>
      <c r="G299" s="8">
        <v>7.6912192953841968E-2</v>
      </c>
      <c r="H299" s="8">
        <v>-1.6839828936248934E-2</v>
      </c>
      <c r="I299" s="8">
        <v>1.5162362377533128E-2</v>
      </c>
      <c r="J299" s="8">
        <v>0.24484419359043053</v>
      </c>
      <c r="K299" s="8">
        <v>2.134017706837953E-2</v>
      </c>
      <c r="L299" s="8">
        <v>2.645538412412295E-2</v>
      </c>
    </row>
    <row r="300" spans="2:12">
      <c r="B300" s="6" t="s">
        <v>294</v>
      </c>
      <c r="C300" s="8">
        <v>1.3473052214306988E-2</v>
      </c>
      <c r="D300" s="8">
        <v>-0.29753175379787444</v>
      </c>
      <c r="E300" s="8">
        <v>-0.32353290836267562</v>
      </c>
      <c r="F300" s="8">
        <v>1</v>
      </c>
      <c r="G300" s="8">
        <v>4.0336551207927396E-2</v>
      </c>
      <c r="H300" s="8">
        <v>0.12284266634179763</v>
      </c>
      <c r="I300" s="8">
        <v>0.14267938035342431</v>
      </c>
      <c r="J300" s="8">
        <v>0.14927950123810269</v>
      </c>
      <c r="K300" s="8">
        <v>-0.21124720730362528</v>
      </c>
      <c r="L300" s="8">
        <v>-0.19674756990727771</v>
      </c>
    </row>
    <row r="301" spans="2:12">
      <c r="B301" s="6" t="s">
        <v>295</v>
      </c>
      <c r="C301" s="8">
        <v>0.1409793862238139</v>
      </c>
      <c r="D301" s="8">
        <v>-0.25677903894825443</v>
      </c>
      <c r="E301" s="8">
        <v>7.6912192953841968E-2</v>
      </c>
      <c r="F301" s="8">
        <v>4.0336551207927396E-2</v>
      </c>
      <c r="G301" s="8">
        <v>1</v>
      </c>
      <c r="H301" s="8">
        <v>0.34638181457379746</v>
      </c>
      <c r="I301" s="8">
        <v>-0.19135051254889479</v>
      </c>
      <c r="J301" s="8">
        <v>1.0824256062700256E-2</v>
      </c>
      <c r="K301" s="8">
        <v>-0.17386641171933978</v>
      </c>
      <c r="L301" s="8">
        <v>0.12309802473241666</v>
      </c>
    </row>
    <row r="302" spans="2:12">
      <c r="B302" s="6" t="s">
        <v>416</v>
      </c>
      <c r="C302" s="8">
        <v>-4.0411876749264754E-2</v>
      </c>
      <c r="D302" s="8">
        <v>-8.4346039491936323E-2</v>
      </c>
      <c r="E302" s="8">
        <v>-1.6839828936248934E-2</v>
      </c>
      <c r="F302" s="8">
        <v>0.12284266634179763</v>
      </c>
      <c r="G302" s="8">
        <v>0.34638181457379746</v>
      </c>
      <c r="H302" s="8">
        <v>1</v>
      </c>
      <c r="I302" s="8">
        <v>-0.30698442252071617</v>
      </c>
      <c r="J302" s="8">
        <v>-1.2390448835784836E-2</v>
      </c>
      <c r="K302" s="8">
        <v>0.3304501939179767</v>
      </c>
      <c r="L302" s="8">
        <v>-0.17945403758261214</v>
      </c>
    </row>
    <row r="303" spans="2:12">
      <c r="B303" s="6" t="s">
        <v>417</v>
      </c>
      <c r="C303" s="8">
        <v>-0.27538926217717136</v>
      </c>
      <c r="D303" s="8">
        <v>-3.5228767683055717E-2</v>
      </c>
      <c r="E303" s="8">
        <v>1.5162362377533128E-2</v>
      </c>
      <c r="F303" s="8">
        <v>0.14267938035342431</v>
      </c>
      <c r="G303" s="8">
        <v>-0.19135051254889479</v>
      </c>
      <c r="H303" s="8">
        <v>-0.30698442252071617</v>
      </c>
      <c r="I303" s="8">
        <v>1</v>
      </c>
      <c r="J303" s="8">
        <v>0.15008276696886591</v>
      </c>
      <c r="K303" s="8">
        <v>-2.7450215924830036E-2</v>
      </c>
      <c r="L303" s="8">
        <v>-7.9520479482661388E-2</v>
      </c>
    </row>
    <row r="304" spans="2:12">
      <c r="B304" s="6" t="s">
        <v>418</v>
      </c>
      <c r="C304" s="8">
        <v>-0.34467286304532524</v>
      </c>
      <c r="D304" s="8">
        <v>0.14224772284846141</v>
      </c>
      <c r="E304" s="8">
        <v>0.24484419359043053</v>
      </c>
      <c r="F304" s="8">
        <v>0.14927950123810269</v>
      </c>
      <c r="G304" s="8">
        <v>1.0824256062700256E-2</v>
      </c>
      <c r="H304" s="8">
        <v>-1.2390448835784836E-2</v>
      </c>
      <c r="I304" s="8">
        <v>0.15008276696886591</v>
      </c>
      <c r="J304" s="8">
        <v>1</v>
      </c>
      <c r="K304" s="8">
        <v>-4.3155217632654452E-2</v>
      </c>
      <c r="L304" s="8">
        <v>-0.13111921963537054</v>
      </c>
    </row>
    <row r="305" spans="1:13">
      <c r="B305" s="6" t="s">
        <v>419</v>
      </c>
      <c r="C305" s="8">
        <v>-1.2904840543889382E-2</v>
      </c>
      <c r="D305" s="8">
        <v>0.10642073529255214</v>
      </c>
      <c r="E305" s="8">
        <v>2.134017706837953E-2</v>
      </c>
      <c r="F305" s="8">
        <v>-0.21124720730362528</v>
      </c>
      <c r="G305" s="8">
        <v>-0.17386641171933978</v>
      </c>
      <c r="H305" s="8">
        <v>0.3304501939179767</v>
      </c>
      <c r="I305" s="8">
        <v>-2.7450215924830036E-2</v>
      </c>
      <c r="J305" s="8">
        <v>-4.3155217632654452E-2</v>
      </c>
      <c r="K305" s="8">
        <v>1</v>
      </c>
      <c r="L305" s="8">
        <v>-0.37402279474750255</v>
      </c>
    </row>
    <row r="306" spans="1:13">
      <c r="B306" s="6" t="s">
        <v>420</v>
      </c>
      <c r="C306" s="8">
        <v>0.13689922042031394</v>
      </c>
      <c r="D306" s="8">
        <v>-6.9911987341575721E-2</v>
      </c>
      <c r="E306" s="8">
        <v>2.645538412412295E-2</v>
      </c>
      <c r="F306" s="8">
        <v>-0.19674756990727771</v>
      </c>
      <c r="G306" s="8">
        <v>0.12309802473241666</v>
      </c>
      <c r="H306" s="8">
        <v>-0.17945403758261214</v>
      </c>
      <c r="I306" s="8">
        <v>-7.9520479482661388E-2</v>
      </c>
      <c r="J306" s="8">
        <v>-0.13111921963537054</v>
      </c>
      <c r="K306" s="8">
        <v>-0.37402279474750255</v>
      </c>
      <c r="L306" s="8">
        <v>1</v>
      </c>
    </row>
    <row r="310" spans="1:13">
      <c r="A310" s="17" t="s">
        <v>469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1:13">
      <c r="B311" s="129"/>
    </row>
    <row r="312" spans="1:13">
      <c r="B312" s="129"/>
    </row>
    <row r="313" spans="1:13">
      <c r="B313" s="6" t="s">
        <v>6</v>
      </c>
      <c r="C313" s="109" t="s">
        <v>431</v>
      </c>
      <c r="D313" s="2"/>
      <c r="E313" s="2"/>
      <c r="F313" s="2"/>
      <c r="G313" s="2"/>
      <c r="H313" s="2"/>
      <c r="I313" s="2"/>
      <c r="J313" s="2"/>
      <c r="K313" s="2"/>
      <c r="L313" s="2"/>
    </row>
    <row r="314" spans="1:13">
      <c r="C314" s="109" t="s">
        <v>432</v>
      </c>
      <c r="D314" s="2"/>
      <c r="E314" s="2"/>
      <c r="F314" s="2"/>
      <c r="G314" s="2"/>
      <c r="H314" s="2"/>
      <c r="I314" s="2"/>
      <c r="J314" s="2"/>
      <c r="K314" s="2"/>
      <c r="L314" s="2"/>
    </row>
    <row r="315" spans="1:13">
      <c r="C315" s="109"/>
      <c r="D315" s="2"/>
      <c r="E315" s="2"/>
      <c r="F315" s="2"/>
      <c r="G315" s="2"/>
      <c r="H315" s="2"/>
      <c r="I315" s="2"/>
      <c r="J315" s="2"/>
      <c r="K315" s="2"/>
      <c r="L315" s="2"/>
    </row>
    <row r="317" spans="1:13">
      <c r="C317" s="128"/>
    </row>
    <row r="318" spans="1:13">
      <c r="B318" s="6" t="s">
        <v>346</v>
      </c>
      <c r="C318" s="6" t="s">
        <v>347</v>
      </c>
    </row>
    <row r="319" spans="1:13">
      <c r="B319" s="6" t="s">
        <v>399</v>
      </c>
      <c r="C319" s="8">
        <v>1.9471493159522049</v>
      </c>
    </row>
    <row r="320" spans="1:13">
      <c r="B320" s="6" t="s">
        <v>405</v>
      </c>
      <c r="C320" s="8">
        <v>1.6471850219887614</v>
      </c>
    </row>
    <row r="321" spans="1:13">
      <c r="B321" s="6" t="s">
        <v>406</v>
      </c>
      <c r="C321" s="8">
        <v>1.5570678694080218</v>
      </c>
    </row>
    <row r="322" spans="1:13">
      <c r="B322" s="6" t="s">
        <v>407</v>
      </c>
      <c r="C322" s="8">
        <v>1.3559085348441144</v>
      </c>
    </row>
    <row r="323" spans="1:13">
      <c r="B323" s="6" t="s">
        <v>408</v>
      </c>
      <c r="C323" s="8">
        <v>0.88492959029094564</v>
      </c>
    </row>
    <row r="324" spans="1:13">
      <c r="B324" s="6" t="s">
        <v>409</v>
      </c>
      <c r="C324" s="8">
        <v>0.75429700380768927</v>
      </c>
    </row>
    <row r="325" spans="1:13">
      <c r="B325" s="6" t="s">
        <v>410</v>
      </c>
      <c r="C325" s="8">
        <v>0.58388648543486787</v>
      </c>
    </row>
    <row r="326" spans="1:13">
      <c r="B326" s="6" t="s">
        <v>411</v>
      </c>
      <c r="C326" s="8">
        <v>0.5230599617954409</v>
      </c>
    </row>
    <row r="327" spans="1:13">
      <c r="B327" s="6" t="s">
        <v>412</v>
      </c>
      <c r="C327" s="8">
        <v>0.46678463786873187</v>
      </c>
    </row>
    <row r="328" spans="1:13">
      <c r="B328" s="6" t="s">
        <v>413</v>
      </c>
      <c r="C328" s="8">
        <v>0.27973157860922143</v>
      </c>
    </row>
    <row r="332" spans="1:13">
      <c r="A332" s="17" t="s">
        <v>470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1:13">
      <c r="B333" s="129"/>
    </row>
    <row r="334" spans="1:13">
      <c r="B334" s="129"/>
    </row>
    <row r="335" spans="1:13">
      <c r="B335" s="6" t="s">
        <v>6</v>
      </c>
      <c r="C335" s="109" t="s">
        <v>433</v>
      </c>
      <c r="D335" s="2"/>
      <c r="E335" s="2"/>
      <c r="F335" s="2"/>
      <c r="G335" s="2"/>
      <c r="H335" s="2"/>
      <c r="I335" s="2"/>
      <c r="J335" s="2"/>
      <c r="K335" s="2"/>
      <c r="L335" s="2"/>
    </row>
    <row r="336" spans="1:13">
      <c r="C336" s="109" t="s">
        <v>434</v>
      </c>
      <c r="D336" s="2"/>
      <c r="E336" s="2"/>
      <c r="F336" s="2"/>
      <c r="G336" s="2"/>
      <c r="H336" s="2"/>
      <c r="I336" s="2"/>
      <c r="J336" s="2"/>
      <c r="K336" s="2"/>
      <c r="L336" s="2"/>
    </row>
    <row r="337" spans="2:12">
      <c r="C337" s="109"/>
      <c r="D337" s="2"/>
      <c r="E337" s="2"/>
      <c r="F337" s="2"/>
      <c r="G337" s="2"/>
      <c r="H337" s="2"/>
      <c r="I337" s="2"/>
      <c r="J337" s="2"/>
      <c r="K337" s="2"/>
      <c r="L337" s="2"/>
    </row>
    <row r="339" spans="2:12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</row>
    <row r="340" spans="2:12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</row>
    <row r="341" spans="2:12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</row>
    <row r="342" spans="2:12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</row>
    <row r="343" spans="2:12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</row>
    <row r="344" spans="2:12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</row>
    <row r="345" spans="2:12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</row>
    <row r="346" spans="2:12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</row>
    <row r="347" spans="2:12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</row>
    <row r="348" spans="2:12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</row>
    <row r="349" spans="2:12">
      <c r="B349" s="127"/>
      <c r="C349" s="127"/>
      <c r="D349" s="127"/>
      <c r="E349" s="127"/>
      <c r="F349" s="127" t="s">
        <v>45</v>
      </c>
      <c r="G349" s="127"/>
      <c r="H349" s="127"/>
      <c r="I349" s="127"/>
      <c r="J349" s="127"/>
      <c r="K349" s="127"/>
      <c r="L349" s="127"/>
    </row>
    <row r="350" spans="2:12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</row>
    <row r="351" spans="2:12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</row>
    <row r="352" spans="2:12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</row>
    <row r="353" spans="1:13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</row>
    <row r="354" spans="1:13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</row>
    <row r="355" spans="1:13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</row>
    <row r="356" spans="1:13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</row>
    <row r="357" spans="1:13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</row>
    <row r="358" spans="1:13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</row>
    <row r="359" spans="1:13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</row>
    <row r="360" spans="1:13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</row>
    <row r="366" spans="1:13">
      <c r="A366" s="18" t="s">
        <v>481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9" spans="2:5">
      <c r="B369" s="6" t="s">
        <v>338</v>
      </c>
      <c r="C369" s="6" t="s">
        <v>399</v>
      </c>
      <c r="D369" s="6" t="s">
        <v>405</v>
      </c>
      <c r="E369" s="6" t="s">
        <v>421</v>
      </c>
    </row>
    <row r="370" spans="2:5">
      <c r="B370" s="6" t="s">
        <v>291</v>
      </c>
      <c r="C370" s="140">
        <v>-0.47359937433901689</v>
      </c>
      <c r="D370" s="140">
        <v>0.6703416227366441</v>
      </c>
      <c r="E370" s="8">
        <f>SUMSQ(C370:D370)</f>
        <v>0.6736542585475056</v>
      </c>
    </row>
    <row r="371" spans="2:5">
      <c r="B371" s="6" t="s">
        <v>292</v>
      </c>
      <c r="C371" s="140">
        <v>-0.76507942980626198</v>
      </c>
      <c r="D371" s="140">
        <v>0.38809837623449051</v>
      </c>
      <c r="E371" s="8">
        <f t="shared" ref="E371:E379" si="39">SUMSQ(C371:D371)</f>
        <v>0.73596688354852313</v>
      </c>
    </row>
    <row r="372" spans="2:5">
      <c r="B372" s="6" t="s">
        <v>293</v>
      </c>
      <c r="C372" s="140">
        <v>-0.74341672708180351</v>
      </c>
      <c r="D372" s="140">
        <v>0.37851641282355181</v>
      </c>
      <c r="E372" s="8">
        <f t="shared" si="39"/>
        <v>0.69594310488183031</v>
      </c>
    </row>
    <row r="373" spans="2:5">
      <c r="B373" s="6" t="s">
        <v>294</v>
      </c>
      <c r="C373" s="140">
        <v>-0.95880794761291899</v>
      </c>
      <c r="D373" s="140">
        <v>-5.6939824196561808E-2</v>
      </c>
      <c r="E373" s="8">
        <f t="shared" si="39"/>
        <v>0.92255482398523336</v>
      </c>
    </row>
    <row r="374" spans="2:5">
      <c r="B374" s="6" t="s">
        <v>295</v>
      </c>
      <c r="C374" s="140">
        <v>-0.88240843640222355</v>
      </c>
      <c r="D374" s="140">
        <v>2.03892237570216E-2</v>
      </c>
      <c r="E374" s="8">
        <f t="shared" si="39"/>
        <v>0.77906036907923093</v>
      </c>
    </row>
    <row r="375" spans="2:5">
      <c r="B375" s="6" t="s">
        <v>416</v>
      </c>
      <c r="C375" s="140">
        <v>-0.72956118701491168</v>
      </c>
      <c r="D375" s="140">
        <v>-0.25403189787160124</v>
      </c>
      <c r="E375" s="8">
        <f t="shared" si="39"/>
        <v>0.59679173073485459</v>
      </c>
    </row>
    <row r="376" spans="2:5">
      <c r="B376" s="6" t="s">
        <v>417</v>
      </c>
      <c r="C376" s="140">
        <v>-0.61480861454273139</v>
      </c>
      <c r="D376" s="140">
        <v>-0.65358839689459958</v>
      </c>
      <c r="E376" s="8">
        <f t="shared" si="39"/>
        <v>0.80516742507120553</v>
      </c>
    </row>
    <row r="377" spans="2:5">
      <c r="B377" s="6" t="s">
        <v>418</v>
      </c>
      <c r="C377" s="140">
        <v>-0.46402638132766361</v>
      </c>
      <c r="D377" s="140">
        <v>-0.76334934234840712</v>
      </c>
      <c r="E377" s="8">
        <f t="shared" si="39"/>
        <v>0.79802270103179196</v>
      </c>
    </row>
    <row r="378" spans="2:5">
      <c r="B378" s="6" t="s">
        <v>419</v>
      </c>
      <c r="C378" s="150">
        <v>-0.94387272192131078</v>
      </c>
      <c r="D378" s="150">
        <v>5.1142552053540522E-3</v>
      </c>
      <c r="E378" s="152">
        <f t="shared" si="39"/>
        <v>0.89092187079344953</v>
      </c>
    </row>
    <row r="379" spans="2:5">
      <c r="B379" s="6" t="s">
        <v>420</v>
      </c>
      <c r="C379" s="151">
        <v>-0.86118525405369506</v>
      </c>
      <c r="D379" s="151">
        <v>8.9827895952621306E-2</v>
      </c>
      <c r="E379" s="153">
        <f t="shared" si="39"/>
        <v>0.74970909269080221</v>
      </c>
    </row>
    <row r="381" spans="2:5">
      <c r="B381" s="6" t="s">
        <v>424</v>
      </c>
      <c r="C381" s="140">
        <v>5.8183740581007957</v>
      </c>
      <c r="D381" s="140">
        <v>1.8294182022636307</v>
      </c>
      <c r="E381" s="22">
        <f>SUM(C381:D381)</f>
        <v>7.6477922603644259</v>
      </c>
    </row>
    <row r="382" spans="2:5">
      <c r="B382" s="6" t="s">
        <v>425</v>
      </c>
      <c r="C382" s="145">
        <f>C381/COUNTA($B$370:$B$379)</f>
        <v>0.58183740581007959</v>
      </c>
      <c r="D382" s="145">
        <f>D381/COUNTA($B$370:$B$379)</f>
        <v>0.18294182022636307</v>
      </c>
      <c r="E382" s="145">
        <f>E381/COUNTA($B$370:$B$379)</f>
        <v>0.76477922603644255</v>
      </c>
    </row>
    <row r="386" spans="1:13">
      <c r="A386" s="132" t="s">
        <v>517</v>
      </c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</row>
    <row r="389" spans="1:13">
      <c r="B389" s="6" t="s">
        <v>482</v>
      </c>
      <c r="C389" s="6" t="s">
        <v>291</v>
      </c>
      <c r="D389" s="6" t="s">
        <v>292</v>
      </c>
      <c r="E389" s="6" t="s">
        <v>293</v>
      </c>
      <c r="F389" s="6" t="s">
        <v>294</v>
      </c>
      <c r="G389" s="6" t="s">
        <v>295</v>
      </c>
      <c r="H389" s="6" t="s">
        <v>416</v>
      </c>
      <c r="I389" s="6" t="s">
        <v>417</v>
      </c>
      <c r="J389" s="6" t="s">
        <v>418</v>
      </c>
      <c r="K389" s="6" t="s">
        <v>419</v>
      </c>
      <c r="L389" s="6" t="s">
        <v>420</v>
      </c>
    </row>
    <row r="390" spans="1:13">
      <c r="B390" s="6" t="s">
        <v>291</v>
      </c>
      <c r="C390" s="154">
        <f t="array" ref="C390:L399">MMULT(C370:D379,TRANSPOSE(C370:D379))</f>
        <v>0.6736542585475056</v>
      </c>
      <c r="D390" s="8">
        <v>0.62249963458238244</v>
      </c>
      <c r="E390" s="8">
        <v>0.60581700322369492</v>
      </c>
      <c r="F390" s="8">
        <v>0.41592170995049282</v>
      </c>
      <c r="G390" s="8">
        <v>0.43157582873118566</v>
      </c>
      <c r="H390" s="8">
        <v>0.17523156706617404</v>
      </c>
      <c r="I390" s="8">
        <v>-0.1469545313904923</v>
      </c>
      <c r="J390" s="8">
        <v>-0.29194223299120176</v>
      </c>
      <c r="K390" s="8">
        <v>0.45044582869104399</v>
      </c>
      <c r="L390" s="8">
        <v>0.46807217504971588</v>
      </c>
    </row>
    <row r="391" spans="1:13">
      <c r="B391" s="6" t="s">
        <v>292</v>
      </c>
      <c r="C391" s="8">
        <v>0.62249963458238244</v>
      </c>
      <c r="D391" s="154">
        <v>0.73596688354852313</v>
      </c>
      <c r="E391" s="8">
        <v>0.7156744508591083</v>
      </c>
      <c r="F391" s="8">
        <v>0.71146598453964138</v>
      </c>
      <c r="G391" s="8">
        <v>0.68302556801163017</v>
      </c>
      <c r="H391" s="8">
        <v>0.45958288989441393</v>
      </c>
      <c r="I391" s="8">
        <v>0.21672082869383302</v>
      </c>
      <c r="J391" s="8">
        <v>5.8762398976148933E-2</v>
      </c>
      <c r="K391" s="8">
        <v>0.72412243803808762</v>
      </c>
      <c r="L391" s="8">
        <v>0.69373718368873494</v>
      </c>
    </row>
    <row r="392" spans="1:13">
      <c r="B392" s="6" t="s">
        <v>293</v>
      </c>
      <c r="C392" s="8">
        <v>0.60581700322369492</v>
      </c>
      <c r="D392" s="8">
        <v>0.7156744508591083</v>
      </c>
      <c r="E392" s="154">
        <v>0.69594310488183031</v>
      </c>
      <c r="F392" s="8">
        <v>0.69124120831273128</v>
      </c>
      <c r="G392" s="8">
        <v>0.6637148475762773</v>
      </c>
      <c r="H392" s="8">
        <v>0.44621274713142384</v>
      </c>
      <c r="I392" s="8">
        <v>0.20966507254941583</v>
      </c>
      <c r="J392" s="8">
        <v>5.6024718889288116E-2</v>
      </c>
      <c r="K392" s="8">
        <v>0.70362659924712889</v>
      </c>
      <c r="L392" s="8">
        <v>0.67422085592718284</v>
      </c>
    </row>
    <row r="393" spans="1:13">
      <c r="B393" s="6" t="s">
        <v>294</v>
      </c>
      <c r="C393" s="8">
        <v>0.41592170995049282</v>
      </c>
      <c r="D393" s="8">
        <v>0.71146598453964138</v>
      </c>
      <c r="E393" s="8">
        <v>0.69124120831273128</v>
      </c>
      <c r="F393" s="154">
        <v>0.92255482398523336</v>
      </c>
      <c r="G393" s="8">
        <v>0.84489926304691176</v>
      </c>
      <c r="H393" s="8">
        <v>0.71397359598494037</v>
      </c>
      <c r="I393" s="8">
        <v>0.62669859430054964</v>
      </c>
      <c r="J393" s="8">
        <v>0.48837715967290624</v>
      </c>
      <c r="K393" s="8">
        <v>0.90470146252090222</v>
      </c>
      <c r="L393" s="8">
        <v>0.82059648135024421</v>
      </c>
    </row>
    <row r="394" spans="1:13">
      <c r="B394" s="6" t="s">
        <v>295</v>
      </c>
      <c r="C394" s="8">
        <v>0.43157582873118566</v>
      </c>
      <c r="D394" s="8">
        <v>0.68302556801163017</v>
      </c>
      <c r="E394" s="8">
        <v>0.6637148475762773</v>
      </c>
      <c r="F394" s="8">
        <v>0.84489926304691176</v>
      </c>
      <c r="G394" s="154">
        <v>0.77906036907923093</v>
      </c>
      <c r="H394" s="8">
        <v>0.6385914330864535</v>
      </c>
      <c r="I394" s="8">
        <v>0.52918614817599197</v>
      </c>
      <c r="J394" s="8">
        <v>0.39389669305080866</v>
      </c>
      <c r="K394" s="8">
        <v>0.83298552840702711</v>
      </c>
      <c r="L394" s="8">
        <v>0.76174865455237317</v>
      </c>
    </row>
    <row r="395" spans="1:13">
      <c r="B395" s="6" t="s">
        <v>416</v>
      </c>
      <c r="C395" s="8">
        <v>0.17523156706617404</v>
      </c>
      <c r="D395" s="8">
        <v>0.45958288989441393</v>
      </c>
      <c r="E395" s="8">
        <v>0.44621274713142384</v>
      </c>
      <c r="F395" s="8">
        <v>0.71397359598494037</v>
      </c>
      <c r="G395" s="8">
        <v>0.6385914330864535</v>
      </c>
      <c r="H395" s="154">
        <v>0.59679173073485459</v>
      </c>
      <c r="I395" s="8">
        <v>0.61457280350278087</v>
      </c>
      <c r="J395" s="8">
        <v>0.53245071974344882</v>
      </c>
      <c r="K395" s="8">
        <v>0.68731371943989139</v>
      </c>
      <c r="L395" s="8">
        <v>0.60546818529649493</v>
      </c>
    </row>
    <row r="396" spans="1:13">
      <c r="B396" s="6" t="s">
        <v>417</v>
      </c>
      <c r="C396" s="8">
        <v>-0.1469545313904923</v>
      </c>
      <c r="D396" s="8">
        <v>0.21672082869383302</v>
      </c>
      <c r="E396" s="8">
        <v>0.20966507254941583</v>
      </c>
      <c r="F396" s="8">
        <v>0.62669859430054964</v>
      </c>
      <c r="G396" s="8">
        <v>0.52918614817599197</v>
      </c>
      <c r="H396" s="8">
        <v>0.61457280350278087</v>
      </c>
      <c r="I396" s="154">
        <v>0.80516742507120553</v>
      </c>
      <c r="J396" s="8">
        <v>0.78420368955138031</v>
      </c>
      <c r="K396" s="8">
        <v>0.57695846260814065</v>
      </c>
      <c r="L396" s="8">
        <v>0.47075364239729378</v>
      </c>
    </row>
    <row r="397" spans="1:13">
      <c r="B397" s="6" t="s">
        <v>418</v>
      </c>
      <c r="C397" s="8">
        <v>-0.29194223299120176</v>
      </c>
      <c r="D397" s="8">
        <v>5.8762398976148933E-2</v>
      </c>
      <c r="E397" s="8">
        <v>5.6024718889288116E-2</v>
      </c>
      <c r="F397" s="8">
        <v>0.48837715967290624</v>
      </c>
      <c r="G397" s="8">
        <v>0.39389669305080866</v>
      </c>
      <c r="H397" s="8">
        <v>0.53245071974344882</v>
      </c>
      <c r="I397" s="8">
        <v>0.78420368955138031</v>
      </c>
      <c r="J397" s="154">
        <v>0.79802270103179196</v>
      </c>
      <c r="K397" s="8">
        <v>0.434077880239429</v>
      </c>
      <c r="L397" s="8">
        <v>0.33104261179130617</v>
      </c>
    </row>
    <row r="398" spans="1:13">
      <c r="B398" s="6" t="s">
        <v>419</v>
      </c>
      <c r="C398" s="8">
        <v>0.45044582869104399</v>
      </c>
      <c r="D398" s="8">
        <v>0.72412243803808762</v>
      </c>
      <c r="E398" s="8">
        <v>0.70362659924712889</v>
      </c>
      <c r="F398" s="8">
        <v>0.90470146252090222</v>
      </c>
      <c r="G398" s="8">
        <v>0.83298552840702711</v>
      </c>
      <c r="H398" s="8">
        <v>0.68731371943989139</v>
      </c>
      <c r="I398" s="8">
        <v>0.57695846260814065</v>
      </c>
      <c r="J398" s="8">
        <v>0.434077880239429</v>
      </c>
      <c r="K398" s="154">
        <v>0.89092187079344953</v>
      </c>
      <c r="L398" s="8">
        <v>0.81330867260661832</v>
      </c>
    </row>
    <row r="399" spans="1:13">
      <c r="B399" s="6" t="s">
        <v>420</v>
      </c>
      <c r="C399" s="8">
        <v>0.46807217504971588</v>
      </c>
      <c r="D399" s="8">
        <v>0.69373718368873494</v>
      </c>
      <c r="E399" s="8">
        <v>0.67422085592718284</v>
      </c>
      <c r="F399" s="8">
        <v>0.82059648135024421</v>
      </c>
      <c r="G399" s="8">
        <v>0.76174865455237317</v>
      </c>
      <c r="H399" s="8">
        <v>0.60546818529649493</v>
      </c>
      <c r="I399" s="8">
        <v>0.47075364239729378</v>
      </c>
      <c r="J399" s="8">
        <v>0.33104261179130617</v>
      </c>
      <c r="K399" s="8">
        <v>0.81330867260661832</v>
      </c>
      <c r="L399" s="154">
        <v>0.74970909269080221</v>
      </c>
    </row>
    <row r="403" spans="1:13">
      <c r="A403" s="17" t="s">
        <v>518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</row>
    <row r="406" spans="1:13">
      <c r="B406" s="6" t="s">
        <v>483</v>
      </c>
      <c r="C406" s="6" t="s">
        <v>291</v>
      </c>
      <c r="D406" s="6" t="s">
        <v>292</v>
      </c>
      <c r="E406" s="6" t="s">
        <v>293</v>
      </c>
      <c r="F406" s="6" t="s">
        <v>294</v>
      </c>
      <c r="G406" s="6" t="s">
        <v>295</v>
      </c>
      <c r="H406" s="6" t="s">
        <v>416</v>
      </c>
      <c r="I406" s="6" t="s">
        <v>417</v>
      </c>
      <c r="J406" s="6" t="s">
        <v>418</v>
      </c>
      <c r="K406" s="6" t="s">
        <v>419</v>
      </c>
      <c r="L406" s="6" t="s">
        <v>420</v>
      </c>
    </row>
    <row r="407" spans="1:13">
      <c r="B407" s="6" t="s">
        <v>291</v>
      </c>
      <c r="C407" s="8">
        <f t="array" ref="C407:L416">C297:L306-C390:L399</f>
        <v>0.3263457414524944</v>
      </c>
      <c r="D407" s="8">
        <v>-0.92252934743985304</v>
      </c>
      <c r="E407" s="8">
        <v>-0.74785097113009691</v>
      </c>
      <c r="F407" s="8">
        <v>-0.40244865773618582</v>
      </c>
      <c r="G407" s="8">
        <v>-0.29059644250737177</v>
      </c>
      <c r="H407" s="8">
        <v>-0.21564344381543879</v>
      </c>
      <c r="I407" s="8">
        <v>-0.12843473078667905</v>
      </c>
      <c r="J407" s="8">
        <v>-5.2730630054123484E-2</v>
      </c>
      <c r="K407" s="8">
        <v>-0.4633506692349334</v>
      </c>
      <c r="L407" s="8">
        <v>-0.33117295462940194</v>
      </c>
    </row>
    <row r="408" spans="1:13">
      <c r="B408" s="6" t="s">
        <v>292</v>
      </c>
      <c r="C408" s="8">
        <v>-0.92252934743985304</v>
      </c>
      <c r="D408" s="8">
        <v>0.26403311645147687</v>
      </c>
      <c r="E408" s="8">
        <v>-0.54506800077728701</v>
      </c>
      <c r="F408" s="8">
        <v>-1.0089977383375159</v>
      </c>
      <c r="G408" s="8">
        <v>-0.93980460695988466</v>
      </c>
      <c r="H408" s="8">
        <v>-0.54392892938635029</v>
      </c>
      <c r="I408" s="8">
        <v>-0.25194959637688874</v>
      </c>
      <c r="J408" s="8">
        <v>8.3485323872312472E-2</v>
      </c>
      <c r="K408" s="8">
        <v>-0.61770170274553549</v>
      </c>
      <c r="L408" s="8">
        <v>-0.7636491710303106</v>
      </c>
    </row>
    <row r="409" spans="1:13">
      <c r="B409" s="6" t="s">
        <v>293</v>
      </c>
      <c r="C409" s="8">
        <v>-0.74785097113009691</v>
      </c>
      <c r="D409" s="8">
        <v>-0.54506800077728701</v>
      </c>
      <c r="E409" s="8">
        <v>0.30405689511816969</v>
      </c>
      <c r="F409" s="8">
        <v>-1.014774116675407</v>
      </c>
      <c r="G409" s="8">
        <v>-0.5868026546224353</v>
      </c>
      <c r="H409" s="8">
        <v>-0.46305257606767275</v>
      </c>
      <c r="I409" s="8">
        <v>-0.1945027101718827</v>
      </c>
      <c r="J409" s="8">
        <v>0.18881947470114241</v>
      </c>
      <c r="K409" s="8">
        <v>-0.68228642217874935</v>
      </c>
      <c r="L409" s="8">
        <v>-0.64776547180305988</v>
      </c>
    </row>
    <row r="410" spans="1:13">
      <c r="B410" s="6" t="s">
        <v>294</v>
      </c>
      <c r="C410" s="8">
        <v>-0.40244865773618582</v>
      </c>
      <c r="D410" s="8">
        <v>-1.0089977383375159</v>
      </c>
      <c r="E410" s="8">
        <v>-1.014774116675407</v>
      </c>
      <c r="F410" s="8">
        <v>7.7445176014766637E-2</v>
      </c>
      <c r="G410" s="8">
        <v>-0.80456271183898442</v>
      </c>
      <c r="H410" s="8">
        <v>-0.59113092964314273</v>
      </c>
      <c r="I410" s="8">
        <v>-0.48401921394712533</v>
      </c>
      <c r="J410" s="8">
        <v>-0.33909765843480355</v>
      </c>
      <c r="K410" s="8">
        <v>-1.1159486698245276</v>
      </c>
      <c r="L410" s="8">
        <v>-1.0173440512575218</v>
      </c>
    </row>
    <row r="411" spans="1:13">
      <c r="B411" s="6" t="s">
        <v>295</v>
      </c>
      <c r="C411" s="8">
        <v>-0.29059644250737177</v>
      </c>
      <c r="D411" s="8">
        <v>-0.93980460695988466</v>
      </c>
      <c r="E411" s="8">
        <v>-0.5868026546224353</v>
      </c>
      <c r="F411" s="8">
        <v>-0.80456271183898442</v>
      </c>
      <c r="G411" s="8">
        <v>0.22093963092076907</v>
      </c>
      <c r="H411" s="8">
        <v>-0.29220961851265603</v>
      </c>
      <c r="I411" s="8">
        <v>-0.72053666072488676</v>
      </c>
      <c r="J411" s="8">
        <v>-0.38307243698810839</v>
      </c>
      <c r="K411" s="8">
        <v>-1.0068519401263669</v>
      </c>
      <c r="L411" s="8">
        <v>-0.63865062981995657</v>
      </c>
    </row>
    <row r="412" spans="1:13">
      <c r="B412" s="6" t="s">
        <v>416</v>
      </c>
      <c r="C412" s="8">
        <v>-0.21564344381543879</v>
      </c>
      <c r="D412" s="8">
        <v>-0.54392892938635029</v>
      </c>
      <c r="E412" s="8">
        <v>-0.46305257606767275</v>
      </c>
      <c r="F412" s="8">
        <v>-0.59113092964314273</v>
      </c>
      <c r="G412" s="8">
        <v>-0.29220961851265603</v>
      </c>
      <c r="H412" s="8">
        <v>0.40320826926514541</v>
      </c>
      <c r="I412" s="8">
        <v>-0.92155722602349699</v>
      </c>
      <c r="J412" s="8">
        <v>-0.5448411685792337</v>
      </c>
      <c r="K412" s="8">
        <v>-0.35686352552191469</v>
      </c>
      <c r="L412" s="8">
        <v>-0.78492222287910707</v>
      </c>
    </row>
    <row r="413" spans="1:13">
      <c r="B413" s="6" t="s">
        <v>417</v>
      </c>
      <c r="C413" s="8">
        <v>-0.12843473078667905</v>
      </c>
      <c r="D413" s="8">
        <v>-0.25194959637688874</v>
      </c>
      <c r="E413" s="8">
        <v>-0.1945027101718827</v>
      </c>
      <c r="F413" s="8">
        <v>-0.48401921394712533</v>
      </c>
      <c r="G413" s="8">
        <v>-0.72053666072488676</v>
      </c>
      <c r="H413" s="8">
        <v>-0.92155722602349699</v>
      </c>
      <c r="I413" s="8">
        <v>0.19483257492879447</v>
      </c>
      <c r="J413" s="8">
        <v>-0.6341209225825144</v>
      </c>
      <c r="K413" s="8">
        <v>-0.60440867853297064</v>
      </c>
      <c r="L413" s="8">
        <v>-0.55027412187995517</v>
      </c>
    </row>
    <row r="414" spans="1:13">
      <c r="B414" s="6" t="s">
        <v>418</v>
      </c>
      <c r="C414" s="8">
        <v>-5.2730630054123484E-2</v>
      </c>
      <c r="D414" s="8">
        <v>8.3485323872312472E-2</v>
      </c>
      <c r="E414" s="8">
        <v>0.18881947470114241</v>
      </c>
      <c r="F414" s="8">
        <v>-0.33909765843480355</v>
      </c>
      <c r="G414" s="8">
        <v>-0.38307243698810839</v>
      </c>
      <c r="H414" s="8">
        <v>-0.5448411685792337</v>
      </c>
      <c r="I414" s="8">
        <v>-0.6341209225825144</v>
      </c>
      <c r="J414" s="8">
        <v>0.20197729896820804</v>
      </c>
      <c r="K414" s="8">
        <v>-0.47723309787208346</v>
      </c>
      <c r="L414" s="8">
        <v>-0.46216183142667672</v>
      </c>
    </row>
    <row r="415" spans="1:13">
      <c r="B415" s="6" t="s">
        <v>419</v>
      </c>
      <c r="C415" s="8">
        <v>-0.4633506692349334</v>
      </c>
      <c r="D415" s="8">
        <v>-0.61770170274553549</v>
      </c>
      <c r="E415" s="8">
        <v>-0.68228642217874935</v>
      </c>
      <c r="F415" s="8">
        <v>-1.1159486698245276</v>
      </c>
      <c r="G415" s="8">
        <v>-1.0068519401263669</v>
      </c>
      <c r="H415" s="8">
        <v>-0.35686352552191469</v>
      </c>
      <c r="I415" s="8">
        <v>-0.60440867853297064</v>
      </c>
      <c r="J415" s="8">
        <v>-0.47723309787208346</v>
      </c>
      <c r="K415" s="8">
        <v>0.10907812920655047</v>
      </c>
      <c r="L415" s="8">
        <v>-1.1873314673541209</v>
      </c>
    </row>
    <row r="416" spans="1:13">
      <c r="B416" s="6" t="s">
        <v>420</v>
      </c>
      <c r="C416" s="8">
        <v>-0.33117295462940194</v>
      </c>
      <c r="D416" s="8">
        <v>-0.7636491710303106</v>
      </c>
      <c r="E416" s="8">
        <v>-0.64776547180305988</v>
      </c>
      <c r="F416" s="8">
        <v>-1.0173440512575218</v>
      </c>
      <c r="G416" s="8">
        <v>-0.63865062981995657</v>
      </c>
      <c r="H416" s="8">
        <v>-0.78492222287910707</v>
      </c>
      <c r="I416" s="8">
        <v>-0.55027412187995517</v>
      </c>
      <c r="J416" s="8">
        <v>-0.46216183142667672</v>
      </c>
      <c r="K416" s="8">
        <v>-1.1873314673541209</v>
      </c>
      <c r="L416" s="8">
        <v>0.25029090730919779</v>
      </c>
    </row>
    <row r="420" spans="1:13">
      <c r="A420" s="132" t="s">
        <v>519</v>
      </c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</row>
    <row r="422" spans="1:13">
      <c r="E422" s="251"/>
      <c r="F422" s="251"/>
    </row>
    <row r="423" spans="1:13">
      <c r="B423" s="6" t="s">
        <v>484</v>
      </c>
      <c r="C423" s="6" t="s">
        <v>485</v>
      </c>
      <c r="D423" s="6" t="s">
        <v>486</v>
      </c>
      <c r="E423" s="251"/>
      <c r="F423" s="251"/>
      <c r="G423" s="9" t="s">
        <v>487</v>
      </c>
    </row>
    <row r="424" spans="1:13">
      <c r="B424" s="8">
        <f>COUNTA(B10:B39)-2</f>
        <v>28</v>
      </c>
      <c r="C424" s="8">
        <f>_xlfn.T.INV(0.05,B424)</f>
        <v>-1.7011309342659326</v>
      </c>
      <c r="D424" s="8">
        <f>C424/SQRT(B424+C424^2)</f>
        <v>-0.30605660061930101</v>
      </c>
      <c r="E424" s="251"/>
      <c r="F424" s="251"/>
      <c r="G424" s="9" t="s">
        <v>488</v>
      </c>
    </row>
    <row r="425" spans="1:13">
      <c r="E425" s="251"/>
      <c r="F425" s="251"/>
    </row>
    <row r="427" spans="1:13">
      <c r="B427" s="6" t="s">
        <v>489</v>
      </c>
      <c r="C427" s="6" t="s">
        <v>291</v>
      </c>
      <c r="D427" s="6" t="s">
        <v>292</v>
      </c>
      <c r="E427" s="6" t="s">
        <v>293</v>
      </c>
      <c r="F427" s="6" t="s">
        <v>294</v>
      </c>
      <c r="G427" s="6" t="s">
        <v>295</v>
      </c>
      <c r="H427" s="6" t="s">
        <v>416</v>
      </c>
      <c r="I427" s="6" t="s">
        <v>417</v>
      </c>
      <c r="J427" s="6" t="s">
        <v>418</v>
      </c>
      <c r="K427" s="6" t="s">
        <v>419</v>
      </c>
      <c r="L427" s="6" t="s">
        <v>420</v>
      </c>
    </row>
    <row r="428" spans="1:13">
      <c r="B428" s="6" t="s">
        <v>291</v>
      </c>
      <c r="C428" s="154">
        <f>IF(ABS(C407)&gt;ABS($D$424),C407,"#")</f>
        <v>0.3263457414524944</v>
      </c>
      <c r="D428" s="8">
        <f t="shared" ref="D428:L428" si="40">IF(ABS(D407)&gt;ABS($D$424),D407,"#")</f>
        <v>-0.92252934743985304</v>
      </c>
      <c r="E428" s="8">
        <f t="shared" si="40"/>
        <v>-0.74785097113009691</v>
      </c>
      <c r="F428" s="8">
        <f t="shared" si="40"/>
        <v>-0.40244865773618582</v>
      </c>
      <c r="G428" s="8" t="str">
        <f t="shared" si="40"/>
        <v>#</v>
      </c>
      <c r="H428" s="8" t="str">
        <f t="shared" si="40"/>
        <v>#</v>
      </c>
      <c r="I428" s="8" t="str">
        <f t="shared" si="40"/>
        <v>#</v>
      </c>
      <c r="J428" s="8" t="str">
        <f t="shared" si="40"/>
        <v>#</v>
      </c>
      <c r="K428" s="8">
        <f t="shared" si="40"/>
        <v>-0.4633506692349334</v>
      </c>
      <c r="L428" s="8">
        <f t="shared" si="40"/>
        <v>-0.33117295462940194</v>
      </c>
    </row>
    <row r="429" spans="1:13">
      <c r="B429" s="6" t="s">
        <v>292</v>
      </c>
      <c r="C429" s="8">
        <f t="shared" ref="C429:L429" si="41">IF(ABS(C408)&gt;ABS($D$424),C408,"#")</f>
        <v>-0.92252934743985304</v>
      </c>
      <c r="D429" s="154" t="str">
        <f t="shared" si="41"/>
        <v>#</v>
      </c>
      <c r="E429" s="8">
        <f t="shared" si="41"/>
        <v>-0.54506800077728701</v>
      </c>
      <c r="F429" s="8">
        <f t="shared" si="41"/>
        <v>-1.0089977383375159</v>
      </c>
      <c r="G429" s="8">
        <f t="shared" si="41"/>
        <v>-0.93980460695988466</v>
      </c>
      <c r="H429" s="8">
        <f t="shared" si="41"/>
        <v>-0.54392892938635029</v>
      </c>
      <c r="I429" s="8" t="str">
        <f t="shared" si="41"/>
        <v>#</v>
      </c>
      <c r="J429" s="8" t="str">
        <f t="shared" si="41"/>
        <v>#</v>
      </c>
      <c r="K429" s="8">
        <f t="shared" si="41"/>
        <v>-0.61770170274553549</v>
      </c>
      <c r="L429" s="8">
        <f t="shared" si="41"/>
        <v>-0.7636491710303106</v>
      </c>
    </row>
    <row r="430" spans="1:13">
      <c r="B430" s="6" t="s">
        <v>293</v>
      </c>
      <c r="C430" s="8">
        <f t="shared" ref="C430:L430" si="42">IF(ABS(C409)&gt;ABS($D$424),C409,"#")</f>
        <v>-0.74785097113009691</v>
      </c>
      <c r="D430" s="8">
        <f t="shared" si="42"/>
        <v>-0.54506800077728701</v>
      </c>
      <c r="E430" s="154" t="str">
        <f t="shared" si="42"/>
        <v>#</v>
      </c>
      <c r="F430" s="8">
        <f t="shared" si="42"/>
        <v>-1.014774116675407</v>
      </c>
      <c r="G430" s="8">
        <f t="shared" si="42"/>
        <v>-0.5868026546224353</v>
      </c>
      <c r="H430" s="8">
        <f t="shared" si="42"/>
        <v>-0.46305257606767275</v>
      </c>
      <c r="I430" s="8" t="str">
        <f t="shared" si="42"/>
        <v>#</v>
      </c>
      <c r="J430" s="8" t="str">
        <f t="shared" si="42"/>
        <v>#</v>
      </c>
      <c r="K430" s="8">
        <f t="shared" si="42"/>
        <v>-0.68228642217874935</v>
      </c>
      <c r="L430" s="8">
        <f t="shared" si="42"/>
        <v>-0.64776547180305988</v>
      </c>
    </row>
    <row r="431" spans="1:13">
      <c r="B431" s="6" t="s">
        <v>294</v>
      </c>
      <c r="C431" s="8">
        <f t="shared" ref="C431:L431" si="43">IF(ABS(C410)&gt;ABS($D$424),C410,"#")</f>
        <v>-0.40244865773618582</v>
      </c>
      <c r="D431" s="8">
        <f t="shared" si="43"/>
        <v>-1.0089977383375159</v>
      </c>
      <c r="E431" s="8">
        <f t="shared" si="43"/>
        <v>-1.014774116675407</v>
      </c>
      <c r="F431" s="154" t="str">
        <f t="shared" si="43"/>
        <v>#</v>
      </c>
      <c r="G431" s="8">
        <f t="shared" si="43"/>
        <v>-0.80456271183898442</v>
      </c>
      <c r="H431" s="8">
        <f t="shared" si="43"/>
        <v>-0.59113092964314273</v>
      </c>
      <c r="I431" s="8">
        <f t="shared" si="43"/>
        <v>-0.48401921394712533</v>
      </c>
      <c r="J431" s="8">
        <f t="shared" si="43"/>
        <v>-0.33909765843480355</v>
      </c>
      <c r="K431" s="8">
        <f t="shared" si="43"/>
        <v>-1.1159486698245276</v>
      </c>
      <c r="L431" s="8">
        <f t="shared" si="43"/>
        <v>-1.0173440512575218</v>
      </c>
    </row>
    <row r="432" spans="1:13">
      <c r="B432" s="6" t="s">
        <v>295</v>
      </c>
      <c r="C432" s="8" t="str">
        <f t="shared" ref="C432:L432" si="44">IF(ABS(C411)&gt;ABS($D$424),C411,"#")</f>
        <v>#</v>
      </c>
      <c r="D432" s="8">
        <f t="shared" si="44"/>
        <v>-0.93980460695988466</v>
      </c>
      <c r="E432" s="8">
        <f t="shared" si="44"/>
        <v>-0.5868026546224353</v>
      </c>
      <c r="F432" s="8">
        <f t="shared" si="44"/>
        <v>-0.80456271183898442</v>
      </c>
      <c r="G432" s="154" t="str">
        <f t="shared" si="44"/>
        <v>#</v>
      </c>
      <c r="H432" s="8" t="str">
        <f t="shared" si="44"/>
        <v>#</v>
      </c>
      <c r="I432" s="8">
        <f t="shared" si="44"/>
        <v>-0.72053666072488676</v>
      </c>
      <c r="J432" s="8">
        <f t="shared" si="44"/>
        <v>-0.38307243698810839</v>
      </c>
      <c r="K432" s="8">
        <f t="shared" si="44"/>
        <v>-1.0068519401263669</v>
      </c>
      <c r="L432" s="8">
        <f t="shared" si="44"/>
        <v>-0.63865062981995657</v>
      </c>
    </row>
    <row r="433" spans="1:13">
      <c r="B433" s="6" t="s">
        <v>416</v>
      </c>
      <c r="C433" s="8" t="str">
        <f t="shared" ref="C433:L433" si="45">IF(ABS(C412)&gt;ABS($D$424),C412,"#")</f>
        <v>#</v>
      </c>
      <c r="D433" s="8">
        <f t="shared" si="45"/>
        <v>-0.54392892938635029</v>
      </c>
      <c r="E433" s="8">
        <f t="shared" si="45"/>
        <v>-0.46305257606767275</v>
      </c>
      <c r="F433" s="8">
        <f t="shared" si="45"/>
        <v>-0.59113092964314273</v>
      </c>
      <c r="G433" s="8" t="str">
        <f t="shared" si="45"/>
        <v>#</v>
      </c>
      <c r="H433" s="154">
        <f t="shared" si="45"/>
        <v>0.40320826926514541</v>
      </c>
      <c r="I433" s="8">
        <f t="shared" si="45"/>
        <v>-0.92155722602349699</v>
      </c>
      <c r="J433" s="8">
        <f t="shared" si="45"/>
        <v>-0.5448411685792337</v>
      </c>
      <c r="K433" s="8">
        <f t="shared" si="45"/>
        <v>-0.35686352552191469</v>
      </c>
      <c r="L433" s="8">
        <f t="shared" si="45"/>
        <v>-0.78492222287910707</v>
      </c>
    </row>
    <row r="434" spans="1:13">
      <c r="B434" s="6" t="s">
        <v>417</v>
      </c>
      <c r="C434" s="8" t="str">
        <f t="shared" ref="C434:L434" si="46">IF(ABS(C413)&gt;ABS($D$424),C413,"#")</f>
        <v>#</v>
      </c>
      <c r="D434" s="8" t="str">
        <f t="shared" si="46"/>
        <v>#</v>
      </c>
      <c r="E434" s="8" t="str">
        <f t="shared" si="46"/>
        <v>#</v>
      </c>
      <c r="F434" s="8">
        <f t="shared" si="46"/>
        <v>-0.48401921394712533</v>
      </c>
      <c r="G434" s="8">
        <f t="shared" si="46"/>
        <v>-0.72053666072488676</v>
      </c>
      <c r="H434" s="8">
        <f t="shared" si="46"/>
        <v>-0.92155722602349699</v>
      </c>
      <c r="I434" s="154" t="str">
        <f t="shared" si="46"/>
        <v>#</v>
      </c>
      <c r="J434" s="8">
        <f t="shared" si="46"/>
        <v>-0.6341209225825144</v>
      </c>
      <c r="K434" s="8">
        <f t="shared" si="46"/>
        <v>-0.60440867853297064</v>
      </c>
      <c r="L434" s="8">
        <f t="shared" si="46"/>
        <v>-0.55027412187995517</v>
      </c>
    </row>
    <row r="435" spans="1:13">
      <c r="B435" s="6" t="s">
        <v>418</v>
      </c>
      <c r="C435" s="8" t="str">
        <f t="shared" ref="C435:L435" si="47">IF(ABS(C414)&gt;ABS($D$424),C414,"#")</f>
        <v>#</v>
      </c>
      <c r="D435" s="8" t="str">
        <f t="shared" si="47"/>
        <v>#</v>
      </c>
      <c r="E435" s="8" t="str">
        <f t="shared" si="47"/>
        <v>#</v>
      </c>
      <c r="F435" s="8">
        <f t="shared" si="47"/>
        <v>-0.33909765843480355</v>
      </c>
      <c r="G435" s="8">
        <f t="shared" si="47"/>
        <v>-0.38307243698810839</v>
      </c>
      <c r="H435" s="8">
        <f t="shared" si="47"/>
        <v>-0.5448411685792337</v>
      </c>
      <c r="I435" s="8">
        <f t="shared" si="47"/>
        <v>-0.6341209225825144</v>
      </c>
      <c r="J435" s="154" t="str">
        <f t="shared" si="47"/>
        <v>#</v>
      </c>
      <c r="K435" s="8">
        <f t="shared" si="47"/>
        <v>-0.47723309787208346</v>
      </c>
      <c r="L435" s="8">
        <f t="shared" si="47"/>
        <v>-0.46216183142667672</v>
      </c>
    </row>
    <row r="436" spans="1:13">
      <c r="B436" s="6" t="s">
        <v>419</v>
      </c>
      <c r="C436" s="8">
        <f t="shared" ref="C436:L436" si="48">IF(ABS(C415)&gt;ABS($D$424),C415,"#")</f>
        <v>-0.4633506692349334</v>
      </c>
      <c r="D436" s="8">
        <f t="shared" si="48"/>
        <v>-0.61770170274553549</v>
      </c>
      <c r="E436" s="8">
        <f t="shared" si="48"/>
        <v>-0.68228642217874935</v>
      </c>
      <c r="F436" s="8">
        <f t="shared" si="48"/>
        <v>-1.1159486698245276</v>
      </c>
      <c r="G436" s="8">
        <f t="shared" si="48"/>
        <v>-1.0068519401263669</v>
      </c>
      <c r="H436" s="8">
        <f t="shared" si="48"/>
        <v>-0.35686352552191469</v>
      </c>
      <c r="I436" s="8">
        <f t="shared" si="48"/>
        <v>-0.60440867853297064</v>
      </c>
      <c r="J436" s="8">
        <f t="shared" si="48"/>
        <v>-0.47723309787208346</v>
      </c>
      <c r="K436" s="154" t="str">
        <f t="shared" si="48"/>
        <v>#</v>
      </c>
      <c r="L436" s="8">
        <f t="shared" si="48"/>
        <v>-1.1873314673541209</v>
      </c>
    </row>
    <row r="437" spans="1:13">
      <c r="B437" s="6" t="s">
        <v>420</v>
      </c>
      <c r="C437" s="8">
        <f t="shared" ref="C437:L437" si="49">IF(ABS(C416)&gt;ABS($D$424),C416,"#")</f>
        <v>-0.33117295462940194</v>
      </c>
      <c r="D437" s="8">
        <f t="shared" si="49"/>
        <v>-0.7636491710303106</v>
      </c>
      <c r="E437" s="8">
        <f t="shared" si="49"/>
        <v>-0.64776547180305988</v>
      </c>
      <c r="F437" s="8">
        <f t="shared" si="49"/>
        <v>-1.0173440512575218</v>
      </c>
      <c r="G437" s="8">
        <f t="shared" si="49"/>
        <v>-0.63865062981995657</v>
      </c>
      <c r="H437" s="8">
        <f t="shared" si="49"/>
        <v>-0.78492222287910707</v>
      </c>
      <c r="I437" s="8">
        <f t="shared" si="49"/>
        <v>-0.55027412187995517</v>
      </c>
      <c r="J437" s="8">
        <f t="shared" si="49"/>
        <v>-0.46216183142667672</v>
      </c>
      <c r="K437" s="8">
        <f t="shared" si="49"/>
        <v>-1.1873314673541209</v>
      </c>
      <c r="L437" s="154" t="str">
        <f t="shared" si="49"/>
        <v>#</v>
      </c>
    </row>
    <row r="439" spans="1:13">
      <c r="B439" s="125" t="s">
        <v>369</v>
      </c>
      <c r="C439" s="2" t="s">
        <v>490</v>
      </c>
      <c r="D439" s="2"/>
      <c r="E439" s="2"/>
      <c r="F439" s="2"/>
      <c r="G439" s="2"/>
      <c r="H439" s="2"/>
      <c r="I439" s="2"/>
      <c r="J439" s="2"/>
      <c r="K439" s="2"/>
      <c r="L439" s="2"/>
    </row>
    <row r="440" spans="1:13">
      <c r="C440" s="2" t="s">
        <v>491</v>
      </c>
      <c r="D440" s="2"/>
      <c r="E440" s="2"/>
      <c r="F440" s="2"/>
      <c r="G440" s="2"/>
      <c r="H440" s="2"/>
      <c r="I440" s="2"/>
      <c r="J440" s="2"/>
      <c r="K440" s="2"/>
      <c r="L440" s="2"/>
    </row>
    <row r="441" spans="1:13">
      <c r="C441" s="2" t="s">
        <v>492</v>
      </c>
      <c r="D441" s="2"/>
      <c r="E441" s="2"/>
      <c r="F441" s="2"/>
      <c r="G441" s="2"/>
      <c r="H441" s="2"/>
      <c r="I441" s="2"/>
      <c r="J441" s="2"/>
      <c r="K441" s="2"/>
      <c r="L441" s="2"/>
    </row>
    <row r="442" spans="1:13"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6" spans="1:13">
      <c r="A446" s="132" t="s">
        <v>522</v>
      </c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</row>
    <row r="449" spans="2:10">
      <c r="B449" s="6" t="s">
        <v>6</v>
      </c>
      <c r="C449" s="109" t="s">
        <v>493</v>
      </c>
      <c r="D449" s="2"/>
      <c r="E449" s="2"/>
      <c r="F449" s="2"/>
      <c r="G449" s="2"/>
      <c r="H449" s="2"/>
      <c r="I449" s="2"/>
      <c r="J449" s="2"/>
    </row>
    <row r="450" spans="2:10">
      <c r="C450" s="109" t="s">
        <v>494</v>
      </c>
      <c r="D450" s="2"/>
      <c r="E450" s="2"/>
      <c r="F450" s="2"/>
      <c r="G450" s="2"/>
      <c r="H450" s="2"/>
      <c r="I450" s="2"/>
      <c r="J450" s="2"/>
    </row>
    <row r="451" spans="2:10">
      <c r="C451" s="109"/>
      <c r="D451" s="2"/>
      <c r="E451" s="2"/>
      <c r="F451" s="2"/>
      <c r="G451" s="2"/>
      <c r="H451" s="2"/>
      <c r="I451" s="2"/>
      <c r="J451" s="2"/>
    </row>
    <row r="453" spans="2:10">
      <c r="B453" s="144"/>
      <c r="C453" s="144"/>
      <c r="D453" s="144"/>
      <c r="E453" s="144"/>
      <c r="F453" s="144"/>
      <c r="G453" s="144"/>
      <c r="H453" s="144"/>
      <c r="I453" s="144"/>
    </row>
    <row r="454" spans="2:10">
      <c r="B454" s="144"/>
      <c r="C454" s="144"/>
      <c r="D454" s="144"/>
      <c r="E454" s="144"/>
      <c r="F454" s="144"/>
      <c r="G454" s="144"/>
      <c r="H454" s="144"/>
      <c r="I454" s="144"/>
    </row>
    <row r="455" spans="2:10">
      <c r="B455" s="144"/>
      <c r="C455" s="144"/>
      <c r="D455" s="144"/>
      <c r="E455" s="144"/>
      <c r="F455" s="144"/>
      <c r="G455" s="144"/>
      <c r="H455" s="144"/>
      <c r="I455" s="144"/>
    </row>
    <row r="456" spans="2:10">
      <c r="B456" s="144"/>
      <c r="C456" s="144"/>
      <c r="D456" s="144"/>
      <c r="E456" s="144"/>
      <c r="F456" s="144"/>
      <c r="G456" s="144"/>
      <c r="H456" s="144"/>
      <c r="I456" s="144"/>
    </row>
    <row r="457" spans="2:10">
      <c r="B457" s="144"/>
      <c r="C457" s="144"/>
      <c r="D457" s="144"/>
      <c r="E457" s="144"/>
      <c r="F457" s="144"/>
      <c r="G457" s="144"/>
      <c r="H457" s="144"/>
      <c r="I457" s="144"/>
    </row>
    <row r="458" spans="2:10">
      <c r="B458" s="144"/>
      <c r="C458" s="144"/>
      <c r="D458" s="144"/>
      <c r="E458" s="144"/>
      <c r="F458" s="144"/>
      <c r="G458" s="144"/>
      <c r="H458" s="144"/>
      <c r="I458" s="144"/>
    </row>
    <row r="459" spans="2:10">
      <c r="B459" s="144"/>
      <c r="C459" s="144"/>
      <c r="D459" s="144"/>
      <c r="E459" s="144"/>
      <c r="F459" s="144"/>
      <c r="G459" s="144"/>
      <c r="H459" s="144"/>
      <c r="I459" s="144"/>
    </row>
    <row r="460" spans="2:10">
      <c r="B460" s="144"/>
      <c r="C460" s="144"/>
      <c r="D460" s="144"/>
      <c r="E460" s="144"/>
      <c r="F460" s="144"/>
      <c r="G460" s="144"/>
      <c r="H460" s="144"/>
      <c r="I460" s="144"/>
    </row>
    <row r="461" spans="2:10">
      <c r="B461" s="144"/>
      <c r="C461" s="144"/>
      <c r="D461" s="144"/>
      <c r="E461" s="144"/>
      <c r="F461" s="144"/>
      <c r="G461" s="144"/>
      <c r="H461" s="144"/>
      <c r="I461" s="144"/>
    </row>
    <row r="462" spans="2:10">
      <c r="B462" s="144"/>
      <c r="C462" s="144"/>
      <c r="D462" s="144"/>
      <c r="E462" s="144"/>
      <c r="F462" s="144"/>
      <c r="G462" s="144"/>
      <c r="H462" s="144"/>
      <c r="I462" s="144"/>
    </row>
    <row r="463" spans="2:10">
      <c r="B463" s="144"/>
      <c r="C463" s="144"/>
      <c r="D463" s="144"/>
      <c r="E463" s="144"/>
      <c r="F463" s="144"/>
      <c r="G463" s="144"/>
      <c r="H463" s="144"/>
      <c r="I463" s="144"/>
    </row>
    <row r="464" spans="2:10">
      <c r="B464" s="144"/>
      <c r="C464" s="144"/>
      <c r="D464" s="144"/>
      <c r="E464" s="144"/>
      <c r="F464" s="144"/>
      <c r="G464" s="144"/>
      <c r="H464" s="144"/>
      <c r="I464" s="144"/>
    </row>
    <row r="465" spans="2:9">
      <c r="B465" s="144"/>
      <c r="C465" s="144"/>
      <c r="D465" s="144"/>
      <c r="E465" s="144"/>
      <c r="F465" s="144"/>
      <c r="G465" s="144"/>
      <c r="H465" s="144"/>
      <c r="I465" s="144"/>
    </row>
    <row r="466" spans="2:9">
      <c r="B466" s="144"/>
      <c r="C466" s="144"/>
      <c r="D466" s="144"/>
      <c r="E466" s="144"/>
      <c r="F466" s="144"/>
      <c r="G466" s="144"/>
      <c r="H466" s="144"/>
      <c r="I466" s="144"/>
    </row>
    <row r="467" spans="2:9">
      <c r="B467" s="144"/>
      <c r="C467" s="144"/>
      <c r="D467" s="144"/>
      <c r="E467" s="144"/>
      <c r="F467" s="144"/>
      <c r="G467" s="144"/>
      <c r="H467" s="144"/>
      <c r="I467" s="144"/>
    </row>
    <row r="468" spans="2:9">
      <c r="B468" s="144"/>
      <c r="C468" s="144"/>
      <c r="D468" s="144"/>
      <c r="E468" s="144"/>
      <c r="F468" s="144"/>
      <c r="G468" s="144"/>
      <c r="H468" s="144"/>
      <c r="I468" s="144"/>
    </row>
    <row r="469" spans="2:9">
      <c r="B469" s="144"/>
      <c r="C469" s="144"/>
      <c r="D469" s="144"/>
      <c r="E469" s="144" t="s">
        <v>520</v>
      </c>
      <c r="F469" s="144"/>
      <c r="G469" s="144"/>
      <c r="H469" s="144"/>
      <c r="I469" s="144"/>
    </row>
    <row r="470" spans="2:9">
      <c r="B470" s="144"/>
      <c r="C470" s="144"/>
      <c r="D470" s="144"/>
      <c r="E470" s="144"/>
      <c r="F470" s="144"/>
      <c r="G470" s="144"/>
      <c r="H470" s="144"/>
      <c r="I470" s="144"/>
    </row>
    <row r="471" spans="2:9">
      <c r="B471" s="144"/>
      <c r="C471" s="144"/>
      <c r="D471" s="144"/>
      <c r="E471" s="144"/>
      <c r="F471" s="144"/>
      <c r="G471" s="144"/>
      <c r="H471" s="144"/>
      <c r="I471" s="144"/>
    </row>
    <row r="472" spans="2:9">
      <c r="B472" s="144"/>
      <c r="C472" s="144"/>
      <c r="D472" s="144"/>
      <c r="E472" s="144"/>
      <c r="F472" s="144"/>
      <c r="G472" s="144"/>
      <c r="H472" s="144"/>
      <c r="I472" s="144"/>
    </row>
    <row r="473" spans="2:9">
      <c r="B473" s="144"/>
      <c r="C473" s="144"/>
      <c r="D473" s="144"/>
      <c r="E473" s="144"/>
      <c r="F473" s="144"/>
      <c r="G473" s="144"/>
      <c r="H473" s="144"/>
      <c r="I473" s="144"/>
    </row>
    <row r="474" spans="2:9">
      <c r="B474" s="144"/>
      <c r="C474" s="144"/>
      <c r="D474" s="144"/>
      <c r="E474" s="144"/>
      <c r="F474" s="144"/>
      <c r="G474" s="144"/>
      <c r="H474" s="144"/>
      <c r="I474" s="144"/>
    </row>
    <row r="475" spans="2:9">
      <c r="B475" s="144"/>
      <c r="C475" s="144"/>
      <c r="D475" s="144"/>
      <c r="E475" s="144"/>
      <c r="F475" s="144"/>
      <c r="G475" s="144"/>
      <c r="H475" s="144"/>
      <c r="I475" s="144"/>
    </row>
    <row r="476" spans="2:9">
      <c r="B476" s="144"/>
      <c r="C476" s="144"/>
      <c r="D476" s="144"/>
      <c r="E476" s="144"/>
      <c r="F476" s="144"/>
      <c r="G476" s="144"/>
      <c r="H476" s="144"/>
      <c r="I476" s="144"/>
    </row>
    <row r="477" spans="2:9">
      <c r="B477" s="144"/>
      <c r="C477" s="144"/>
      <c r="D477" s="144"/>
      <c r="E477" s="144"/>
      <c r="F477" s="144"/>
      <c r="G477" s="144"/>
      <c r="H477" s="144"/>
      <c r="I477" s="144"/>
    </row>
    <row r="478" spans="2:9">
      <c r="B478" s="144"/>
      <c r="C478" s="144"/>
      <c r="D478" s="144"/>
      <c r="E478" s="144"/>
      <c r="F478" s="144"/>
      <c r="G478" s="144"/>
      <c r="H478" s="144"/>
      <c r="I478" s="144"/>
    </row>
    <row r="479" spans="2:9">
      <c r="B479" s="144"/>
      <c r="C479" s="144"/>
      <c r="D479" s="144"/>
      <c r="E479" s="144"/>
      <c r="F479" s="144"/>
      <c r="G479" s="144"/>
      <c r="H479" s="144"/>
      <c r="I479" s="144"/>
    </row>
    <row r="480" spans="2:9">
      <c r="B480" s="144"/>
      <c r="C480" s="144"/>
      <c r="D480" s="144"/>
      <c r="E480" s="144"/>
      <c r="F480" s="144"/>
      <c r="G480" s="144"/>
      <c r="H480" s="144"/>
      <c r="I480" s="144"/>
    </row>
    <row r="481" spans="1:13">
      <c r="B481" s="144"/>
      <c r="C481" s="144"/>
      <c r="D481" s="144"/>
      <c r="E481" s="144"/>
      <c r="F481" s="144"/>
      <c r="G481" s="144"/>
      <c r="H481" s="144"/>
      <c r="I481" s="144"/>
    </row>
    <row r="485" spans="1:13">
      <c r="A485" s="132" t="s">
        <v>521</v>
      </c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</row>
    <row r="488" spans="1:13">
      <c r="B488" s="6" t="s">
        <v>6</v>
      </c>
      <c r="C488" s="109" t="s">
        <v>495</v>
      </c>
      <c r="D488" s="2"/>
      <c r="E488" s="2"/>
      <c r="F488" s="2"/>
      <c r="G488" s="2"/>
      <c r="H488" s="2"/>
      <c r="I488" s="2"/>
      <c r="J488" s="2"/>
      <c r="K488" s="2"/>
    </row>
    <row r="489" spans="1:13">
      <c r="C489" s="109" t="s">
        <v>523</v>
      </c>
      <c r="D489" s="2"/>
      <c r="E489" s="2"/>
      <c r="F489" s="2"/>
      <c r="G489" s="2"/>
      <c r="H489" s="2"/>
      <c r="I489" s="2"/>
      <c r="J489" s="2"/>
      <c r="K489" s="2"/>
    </row>
    <row r="490" spans="1:13">
      <c r="C490" s="2"/>
      <c r="D490" s="2"/>
      <c r="E490" s="2"/>
      <c r="F490" s="2"/>
      <c r="G490" s="2"/>
      <c r="H490" s="2"/>
      <c r="I490" s="2"/>
      <c r="J490" s="2"/>
      <c r="K490" s="2"/>
    </row>
    <row r="492" spans="1:13">
      <c r="C492" s="247"/>
      <c r="D492" s="248"/>
    </row>
    <row r="493" spans="1:13">
      <c r="B493" s="6" t="s">
        <v>338</v>
      </c>
      <c r="C493" s="6" t="s">
        <v>342</v>
      </c>
      <c r="D493" s="6" t="s">
        <v>342</v>
      </c>
      <c r="E493" s="6" t="s">
        <v>498</v>
      </c>
    </row>
    <row r="494" spans="1:13">
      <c r="B494" s="6" t="s">
        <v>291</v>
      </c>
      <c r="C494" s="8">
        <v>0.76871705637387322</v>
      </c>
      <c r="D494" s="8">
        <v>-0.28762535563576452</v>
      </c>
      <c r="E494" s="8">
        <f>SUMSQ(C494:D494)</f>
        <v>0.67365425796471257</v>
      </c>
    </row>
    <row r="495" spans="1:13">
      <c r="B495" s="6" t="s">
        <v>292</v>
      </c>
      <c r="C495" s="8">
        <v>0.85084075823897187</v>
      </c>
      <c r="D495" s="8">
        <v>0.10971274973946032</v>
      </c>
      <c r="E495" s="8">
        <f t="shared" ref="E495:E503" si="50">SUMSQ(C495:D495)</f>
        <v>0.73596688333606197</v>
      </c>
    </row>
    <row r="496" spans="1:13">
      <c r="B496" s="6" t="s">
        <v>293</v>
      </c>
      <c r="C496" s="8">
        <v>0.82754141466354803</v>
      </c>
      <c r="D496" s="8">
        <v>0.10544340581148093</v>
      </c>
      <c r="E496" s="8">
        <f t="shared" si="50"/>
        <v>0.6959431048124709</v>
      </c>
    </row>
    <row r="497" spans="2:9">
      <c r="B497" s="6" t="s">
        <v>294</v>
      </c>
      <c r="C497" s="8">
        <v>0.76054968037313786</v>
      </c>
      <c r="D497" s="8">
        <v>0.58661657652447907</v>
      </c>
      <c r="E497" s="8">
        <f t="shared" si="50"/>
        <v>0.92255482416898227</v>
      </c>
    </row>
    <row r="498" spans="2:9">
      <c r="B498" s="6" t="s">
        <v>295</v>
      </c>
      <c r="C498" s="8">
        <v>0.74090979617682817</v>
      </c>
      <c r="D498" s="8">
        <v>0.47970099348787826</v>
      </c>
      <c r="E498" s="8">
        <f t="shared" si="50"/>
        <v>0.77906036922404653</v>
      </c>
    </row>
    <row r="499" spans="2:9">
      <c r="B499" s="6" t="s">
        <v>416</v>
      </c>
      <c r="C499" s="8">
        <v>0.46013543876221186</v>
      </c>
      <c r="D499" s="8">
        <v>0.6205377579327418</v>
      </c>
      <c r="E499" s="8">
        <f t="shared" si="50"/>
        <v>0.5967917310250872</v>
      </c>
    </row>
    <row r="500" spans="2:9">
      <c r="B500" s="6" t="s">
        <v>417</v>
      </c>
      <c r="C500" s="8">
        <v>0.14043462552636643</v>
      </c>
      <c r="D500" s="8">
        <v>0.88625365524091448</v>
      </c>
      <c r="E500" s="8">
        <f t="shared" si="50"/>
        <v>0.80516742547461251</v>
      </c>
    </row>
    <row r="501" spans="2:9">
      <c r="B501" s="6" t="s">
        <v>418</v>
      </c>
      <c r="C501" s="8">
        <v>-4.5973874821271077E-2</v>
      </c>
      <c r="D501" s="8">
        <v>0.8921373792797993</v>
      </c>
      <c r="E501" s="8">
        <f t="shared" si="50"/>
        <v>0.79802270067431047</v>
      </c>
    </row>
    <row r="502" spans="2:9">
      <c r="B502" s="6" t="s">
        <v>419</v>
      </c>
      <c r="C502" s="8">
        <v>0.78312313343402284</v>
      </c>
      <c r="D502" s="8">
        <v>0.52691558013881079</v>
      </c>
      <c r="E502" s="8">
        <f t="shared" si="50"/>
        <v>0.89092187071254192</v>
      </c>
    </row>
    <row r="503" spans="2:9">
      <c r="B503" s="6" t="s">
        <v>420</v>
      </c>
      <c r="C503" s="8">
        <v>0.76244087217547296</v>
      </c>
      <c r="D503" s="8">
        <v>0.41035717254645593</v>
      </c>
      <c r="E503" s="8">
        <f t="shared" si="50"/>
        <v>0.74970909262401775</v>
      </c>
    </row>
    <row r="504" spans="2:9">
      <c r="B504" s="146"/>
      <c r="C504" s="148"/>
      <c r="D504" s="147"/>
    </row>
    <row r="505" spans="2:9">
      <c r="B505" s="6" t="s">
        <v>496</v>
      </c>
      <c r="C505" s="8">
        <v>4.555221872911523</v>
      </c>
      <c r="D505" s="8">
        <v>3.0925703871053214</v>
      </c>
      <c r="E505" s="8">
        <f>SUM(C505:D505)</f>
        <v>7.6477922600168444</v>
      </c>
    </row>
    <row r="506" spans="2:9">
      <c r="B506" s="6" t="s">
        <v>497</v>
      </c>
      <c r="C506" s="8">
        <v>0.45552218729115229</v>
      </c>
      <c r="D506" s="8">
        <v>0.30925703871053212</v>
      </c>
      <c r="E506" s="8">
        <f>E505/COUNTA(B494:B503)</f>
        <v>0.76477922600168446</v>
      </c>
    </row>
    <row r="509" spans="2:9">
      <c r="B509" s="144"/>
      <c r="C509" s="144"/>
      <c r="D509" s="144"/>
      <c r="E509" s="144"/>
      <c r="F509" s="144"/>
      <c r="G509" s="144"/>
      <c r="H509" s="144"/>
      <c r="I509" s="144"/>
    </row>
    <row r="510" spans="2:9">
      <c r="B510" s="144"/>
      <c r="C510" s="144"/>
      <c r="D510" s="144"/>
      <c r="E510" s="144"/>
      <c r="F510" s="144"/>
      <c r="G510" s="144"/>
      <c r="H510" s="144"/>
      <c r="I510" s="144"/>
    </row>
    <row r="511" spans="2:9">
      <c r="B511" s="144"/>
      <c r="C511" s="144"/>
      <c r="D511" s="144"/>
      <c r="E511" s="144"/>
      <c r="F511" s="144"/>
      <c r="G511" s="144"/>
      <c r="H511" s="144"/>
      <c r="I511" s="144"/>
    </row>
    <row r="512" spans="2:9">
      <c r="B512" s="144"/>
      <c r="C512" s="144"/>
      <c r="D512" s="144"/>
      <c r="E512" s="144"/>
      <c r="F512" s="144"/>
      <c r="G512" s="144"/>
      <c r="H512" s="144"/>
      <c r="I512" s="144"/>
    </row>
    <row r="513" spans="2:9">
      <c r="B513" s="144"/>
      <c r="C513" s="144"/>
      <c r="D513" s="144"/>
      <c r="E513" s="144"/>
      <c r="F513" s="144"/>
      <c r="G513" s="144"/>
      <c r="H513" s="144"/>
      <c r="I513" s="144"/>
    </row>
    <row r="514" spans="2:9">
      <c r="B514" s="144"/>
      <c r="C514" s="144"/>
      <c r="D514" s="144"/>
      <c r="E514" s="144"/>
      <c r="F514" s="144"/>
      <c r="G514" s="144"/>
      <c r="H514" s="144"/>
      <c r="I514" s="144"/>
    </row>
    <row r="515" spans="2:9">
      <c r="B515" s="144"/>
      <c r="C515" s="144"/>
      <c r="D515" s="144"/>
      <c r="E515" s="144"/>
      <c r="F515" s="144"/>
      <c r="G515" s="144"/>
      <c r="H515" s="144"/>
      <c r="I515" s="144"/>
    </row>
    <row r="516" spans="2:9">
      <c r="B516" s="144"/>
      <c r="C516" s="144"/>
      <c r="D516" s="144"/>
      <c r="E516" s="144"/>
      <c r="F516" s="144"/>
      <c r="G516" s="144"/>
      <c r="H516" s="144"/>
      <c r="I516" s="144"/>
    </row>
    <row r="517" spans="2:9">
      <c r="B517" s="144"/>
      <c r="C517" s="144"/>
      <c r="D517" s="144"/>
      <c r="E517" s="144"/>
      <c r="F517" s="144"/>
      <c r="G517" s="144"/>
      <c r="H517" s="144"/>
      <c r="I517" s="144"/>
    </row>
    <row r="518" spans="2:9">
      <c r="B518" s="144"/>
      <c r="C518" s="144"/>
      <c r="D518" s="144"/>
      <c r="E518" s="144"/>
      <c r="F518" s="144"/>
      <c r="G518" s="144"/>
      <c r="H518" s="144"/>
      <c r="I518" s="144"/>
    </row>
    <row r="519" spans="2:9">
      <c r="B519" s="144"/>
      <c r="C519" s="144"/>
      <c r="D519" s="144"/>
      <c r="E519" s="144"/>
      <c r="F519" s="144"/>
      <c r="G519" s="144"/>
      <c r="H519" s="144"/>
      <c r="I519" s="144"/>
    </row>
    <row r="520" spans="2:9">
      <c r="B520" s="144"/>
      <c r="C520" s="144"/>
      <c r="D520" s="144"/>
      <c r="E520" s="144"/>
      <c r="F520" s="144"/>
      <c r="G520" s="144"/>
      <c r="H520" s="144"/>
      <c r="I520" s="144"/>
    </row>
    <row r="521" spans="2:9">
      <c r="B521" s="144"/>
      <c r="C521" s="144"/>
      <c r="D521" s="144"/>
      <c r="E521" s="144" t="s">
        <v>520</v>
      </c>
      <c r="F521" s="144"/>
      <c r="G521" s="144"/>
      <c r="H521" s="144"/>
      <c r="I521" s="144"/>
    </row>
    <row r="522" spans="2:9">
      <c r="B522" s="144"/>
      <c r="C522" s="144"/>
      <c r="D522" s="144"/>
      <c r="E522" s="144"/>
      <c r="F522" s="144"/>
      <c r="G522" s="144"/>
      <c r="H522" s="144"/>
      <c r="I522" s="144"/>
    </row>
    <row r="523" spans="2:9">
      <c r="B523" s="144"/>
      <c r="C523" s="144"/>
      <c r="D523" s="144"/>
      <c r="E523" s="144"/>
      <c r="F523" s="144"/>
      <c r="G523" s="144"/>
      <c r="H523" s="144"/>
      <c r="I523" s="144"/>
    </row>
    <row r="524" spans="2:9">
      <c r="B524" s="144"/>
      <c r="C524" s="144"/>
      <c r="D524" s="144"/>
      <c r="E524" s="144"/>
      <c r="F524" s="144"/>
      <c r="G524" s="144"/>
      <c r="H524" s="144"/>
      <c r="I524" s="144"/>
    </row>
    <row r="525" spans="2:9">
      <c r="B525" s="144"/>
      <c r="C525" s="144"/>
      <c r="D525" s="144"/>
      <c r="E525" s="144"/>
      <c r="F525" s="144"/>
      <c r="G525" s="144"/>
      <c r="H525" s="144"/>
      <c r="I525" s="144"/>
    </row>
    <row r="526" spans="2:9">
      <c r="B526" s="144"/>
      <c r="C526" s="144"/>
      <c r="D526" s="144"/>
      <c r="E526" s="144"/>
      <c r="F526" s="144"/>
      <c r="G526" s="144"/>
      <c r="H526" s="144"/>
      <c r="I526" s="144"/>
    </row>
    <row r="527" spans="2:9">
      <c r="B527" s="144"/>
      <c r="C527" s="144"/>
      <c r="D527" s="144"/>
      <c r="E527" s="144"/>
      <c r="F527" s="144"/>
      <c r="G527" s="144"/>
      <c r="H527" s="144"/>
      <c r="I527" s="144"/>
    </row>
    <row r="528" spans="2:9">
      <c r="B528" s="144"/>
      <c r="C528" s="144"/>
      <c r="D528" s="144"/>
      <c r="E528" s="144"/>
      <c r="F528" s="144"/>
      <c r="G528" s="144"/>
      <c r="H528" s="144"/>
      <c r="I528" s="144"/>
    </row>
    <row r="529" spans="1:13">
      <c r="B529" s="144"/>
      <c r="C529" s="144"/>
      <c r="D529" s="144"/>
      <c r="E529" s="144"/>
      <c r="F529" s="144"/>
      <c r="G529" s="144"/>
      <c r="H529" s="144"/>
      <c r="I529" s="144"/>
    </row>
    <row r="530" spans="1:13">
      <c r="B530" s="144"/>
      <c r="C530" s="144"/>
      <c r="D530" s="144"/>
      <c r="E530" s="144"/>
      <c r="F530" s="144"/>
      <c r="G530" s="144"/>
      <c r="H530" s="144"/>
      <c r="I530" s="144"/>
    </row>
    <row r="531" spans="1:13">
      <c r="B531" s="144"/>
      <c r="C531" s="144"/>
      <c r="D531" s="144"/>
      <c r="E531" s="144"/>
      <c r="F531" s="144"/>
      <c r="G531" s="144"/>
      <c r="H531" s="144"/>
      <c r="I531" s="144"/>
    </row>
    <row r="532" spans="1:13">
      <c r="B532" s="144"/>
      <c r="C532" s="144"/>
      <c r="D532" s="144"/>
      <c r="E532" s="144"/>
      <c r="F532" s="144"/>
      <c r="G532" s="144"/>
      <c r="H532" s="144"/>
      <c r="I532" s="144"/>
    </row>
    <row r="533" spans="1:13">
      <c r="B533" s="144"/>
      <c r="C533" s="144"/>
      <c r="D533" s="144"/>
      <c r="E533" s="144"/>
      <c r="F533" s="144"/>
      <c r="G533" s="144"/>
      <c r="H533" s="144"/>
      <c r="I533" s="144"/>
    </row>
    <row r="534" spans="1:13">
      <c r="B534" s="144"/>
      <c r="C534" s="144"/>
      <c r="D534" s="144"/>
      <c r="E534" s="144"/>
      <c r="F534" s="144"/>
      <c r="G534" s="144"/>
      <c r="H534" s="144"/>
      <c r="I534" s="144"/>
    </row>
    <row r="535" spans="1:13">
      <c r="B535" s="144"/>
      <c r="C535" s="144"/>
      <c r="D535" s="144"/>
      <c r="E535" s="144"/>
      <c r="F535" s="144"/>
      <c r="G535" s="144"/>
      <c r="H535" s="144"/>
      <c r="I535" s="144"/>
    </row>
    <row r="536" spans="1:13">
      <c r="B536" s="144"/>
      <c r="C536" s="144"/>
      <c r="D536" s="144"/>
      <c r="E536" s="144"/>
      <c r="F536" s="144"/>
      <c r="G536" s="144"/>
      <c r="H536" s="144"/>
      <c r="I536" s="144"/>
    </row>
    <row r="537" spans="1:13">
      <c r="B537" s="144"/>
      <c r="C537" s="144"/>
      <c r="D537" s="144"/>
      <c r="E537" s="144"/>
      <c r="F537" s="144"/>
      <c r="G537" s="144"/>
      <c r="H537" s="144"/>
      <c r="I537" s="144"/>
    </row>
    <row r="541" spans="1:13">
      <c r="A541" s="17" t="s">
        <v>500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</row>
    <row r="544" spans="1:13">
      <c r="B544" s="6" t="s">
        <v>499</v>
      </c>
      <c r="C544" s="6"/>
      <c r="D544" s="6"/>
    </row>
    <row r="545" spans="2:12">
      <c r="B545" s="144">
        <v>25</v>
      </c>
      <c r="C545" s="8">
        <f t="array" ref="C545:D546">C549:D550</f>
        <v>0.90630778703664994</v>
      </c>
      <c r="D545" s="8">
        <v>0.42261826174069944</v>
      </c>
    </row>
    <row r="546" spans="2:12">
      <c r="B546" s="6" t="s">
        <v>501</v>
      </c>
      <c r="C546" s="8">
        <v>-0.42261826174069944</v>
      </c>
      <c r="D546" s="8">
        <v>0.90630778703664994</v>
      </c>
    </row>
    <row r="547" spans="2:12">
      <c r="C547" s="149"/>
      <c r="D547" s="149"/>
    </row>
    <row r="548" spans="2:12">
      <c r="B548" s="6" t="s">
        <v>502</v>
      </c>
      <c r="C548" s="6"/>
      <c r="D548" s="6"/>
    </row>
    <row r="549" spans="2:12">
      <c r="B549" s="6"/>
      <c r="C549" s="8">
        <f>COS(RADIANS(B545))</f>
        <v>0.90630778703664994</v>
      </c>
      <c r="D549" s="8">
        <f>SIN(RADIANS(B545))</f>
        <v>0.42261826174069944</v>
      </c>
    </row>
    <row r="550" spans="2:12">
      <c r="B550" s="6"/>
      <c r="C550" s="8">
        <f>-D549</f>
        <v>-0.42261826174069944</v>
      </c>
      <c r="D550" s="8">
        <f>C549</f>
        <v>0.90630778703664994</v>
      </c>
    </row>
    <row r="552" spans="2:12">
      <c r="B552" s="6" t="s">
        <v>503</v>
      </c>
      <c r="C552" s="6"/>
      <c r="D552" s="6"/>
    </row>
    <row r="553" spans="2:12">
      <c r="B553" s="6"/>
      <c r="C553" s="8">
        <v>-1</v>
      </c>
      <c r="D553" s="8">
        <v>0</v>
      </c>
    </row>
    <row r="554" spans="2:12">
      <c r="B554" s="6"/>
      <c r="C554" s="8">
        <v>0</v>
      </c>
      <c r="D554" s="8">
        <v>1</v>
      </c>
    </row>
    <row r="557" spans="2:12">
      <c r="C557" s="247"/>
      <c r="D557" s="248"/>
    </row>
    <row r="558" spans="2:12">
      <c r="B558" s="6" t="s">
        <v>338</v>
      </c>
      <c r="C558" s="6" t="s">
        <v>342</v>
      </c>
      <c r="D558" s="6" t="s">
        <v>342</v>
      </c>
      <c r="E558" s="6" t="s">
        <v>498</v>
      </c>
      <c r="G558" s="144"/>
      <c r="H558" s="144"/>
      <c r="I558" s="144"/>
      <c r="J558" s="144"/>
      <c r="K558" s="144"/>
      <c r="L558" s="144"/>
    </row>
    <row r="559" spans="2:12">
      <c r="B559" s="6" t="s">
        <v>291</v>
      </c>
      <c r="C559" s="8">
        <f t="array" ref="C559:D568">MMULT(C494:D503,TRANSPOSE(C545:D546))</f>
        <v>0.5751385263881954</v>
      </c>
      <c r="D559" s="8">
        <v>-0.5855509656970328</v>
      </c>
      <c r="E559" s="8">
        <f>SUMSQ(C559:D559)</f>
        <v>0.67365425796471268</v>
      </c>
      <c r="G559" s="144"/>
      <c r="H559" s="144"/>
      <c r="I559" s="144"/>
      <c r="J559" s="144"/>
      <c r="K559" s="144"/>
      <c r="L559" s="144"/>
    </row>
    <row r="560" spans="2:12">
      <c r="B560" s="6" t="s">
        <v>292</v>
      </c>
      <c r="C560" s="8">
        <v>0.81749021630583096</v>
      </c>
      <c r="D560" s="8">
        <v>-0.26014732283901693</v>
      </c>
      <c r="E560" s="8">
        <f t="shared" ref="E560:E568" si="51">SUMSQ(C560:D560)</f>
        <v>0.73596688333606208</v>
      </c>
      <c r="G560" s="144"/>
      <c r="H560" s="144"/>
      <c r="I560" s="144"/>
      <c r="J560" s="144"/>
      <c r="K560" s="144"/>
      <c r="L560" s="144"/>
    </row>
    <row r="561" spans="2:12">
      <c r="B561" s="6" t="s">
        <v>293</v>
      </c>
      <c r="C561" s="8">
        <v>0.79456953708096612</v>
      </c>
      <c r="D561" s="8">
        <v>-0.25416993440493735</v>
      </c>
      <c r="E561" s="8">
        <f t="shared" si="51"/>
        <v>0.6959431048124709</v>
      </c>
      <c r="G561" s="144"/>
      <c r="H561" s="144"/>
      <c r="I561" s="144"/>
      <c r="J561" s="144"/>
      <c r="K561" s="144"/>
      <c r="L561" s="144"/>
    </row>
    <row r="562" spans="2:12">
      <c r="B562" s="6" t="s">
        <v>294</v>
      </c>
      <c r="C562" s="8">
        <v>0.93720697562946531</v>
      </c>
      <c r="D562" s="8">
        <v>0.21023298742217617</v>
      </c>
      <c r="E562" s="8">
        <f t="shared" si="51"/>
        <v>0.92255482416898205</v>
      </c>
      <c r="G562" s="144"/>
      <c r="H562" s="144"/>
      <c r="I562" s="144"/>
      <c r="J562" s="144"/>
      <c r="K562" s="144"/>
      <c r="L562" s="144"/>
    </row>
    <row r="563" spans="2:12">
      <c r="B563" s="6" t="s">
        <v>295</v>
      </c>
      <c r="C563" s="8">
        <v>0.87422271778993021</v>
      </c>
      <c r="D563" s="8">
        <v>0.12163473568037431</v>
      </c>
      <c r="E563" s="8">
        <f t="shared" si="51"/>
        <v>0.77906036922404653</v>
      </c>
      <c r="G563" s="144"/>
      <c r="H563" s="144"/>
      <c r="I563" s="144"/>
      <c r="J563" s="144"/>
      <c r="K563" s="144"/>
      <c r="L563" s="144"/>
    </row>
    <row r="564" spans="2:12">
      <c r="B564" s="6" t="s">
        <v>416</v>
      </c>
      <c r="C564" s="8">
        <v>0.67927491984372446</v>
      </c>
      <c r="D564" s="8">
        <v>0.36793656286972753</v>
      </c>
      <c r="E564" s="8">
        <f t="shared" si="51"/>
        <v>0.5967917310250872</v>
      </c>
      <c r="G564" s="144"/>
      <c r="H564" s="144"/>
      <c r="I564" s="144"/>
      <c r="J564" s="144"/>
      <c r="K564" s="144"/>
      <c r="L564" s="144"/>
    </row>
    <row r="565" spans="2:12">
      <c r="B565" s="6" t="s">
        <v>417</v>
      </c>
      <c r="C565" s="8">
        <v>0.50182397392337819</v>
      </c>
      <c r="D565" s="8">
        <v>0.74386835170637622</v>
      </c>
      <c r="E565" s="8">
        <f t="shared" si="51"/>
        <v>0.8051674254746124</v>
      </c>
      <c r="G565" s="144"/>
      <c r="H565" s="144"/>
      <c r="I565" s="144" t="s">
        <v>520</v>
      </c>
      <c r="J565" s="144"/>
      <c r="K565" s="144"/>
      <c r="L565" s="144"/>
    </row>
    <row r="566" spans="2:12">
      <c r="B566" s="6" t="s">
        <v>418</v>
      </c>
      <c r="C566" s="8">
        <v>0.33536706771436575</v>
      </c>
      <c r="D566" s="8">
        <v>0.8279804530102014</v>
      </c>
      <c r="E566" s="8">
        <f t="shared" si="51"/>
        <v>0.79802270067431036</v>
      </c>
      <c r="G566" s="144"/>
      <c r="H566" s="144"/>
      <c r="I566" s="144"/>
      <c r="J566" s="144"/>
      <c r="K566" s="144"/>
      <c r="L566" s="144"/>
    </row>
    <row r="567" spans="2:12">
      <c r="B567" s="6" t="s">
        <v>419</v>
      </c>
      <c r="C567" s="8">
        <v>0.93243474060215281</v>
      </c>
      <c r="D567" s="8">
        <v>0.14658555600992162</v>
      </c>
      <c r="E567" s="8">
        <f t="shared" si="51"/>
        <v>0.89092187071254181</v>
      </c>
      <c r="G567" s="144"/>
      <c r="H567" s="144"/>
      <c r="I567" s="144"/>
      <c r="J567" s="144"/>
      <c r="K567" s="144"/>
      <c r="L567" s="144"/>
    </row>
    <row r="568" spans="2:12">
      <c r="B568" s="6" t="s">
        <v>420</v>
      </c>
      <c r="C568" s="8">
        <v>0.86443053456205765</v>
      </c>
      <c r="D568" s="8">
        <v>4.9688464866333992E-2</v>
      </c>
      <c r="E568" s="8">
        <f t="shared" si="51"/>
        <v>0.74970909262401764</v>
      </c>
      <c r="G568" s="144"/>
      <c r="H568" s="144"/>
      <c r="I568" s="144"/>
      <c r="J568" s="144"/>
      <c r="K568" s="144"/>
      <c r="L568" s="144"/>
    </row>
    <row r="569" spans="2:12">
      <c r="B569" s="146"/>
      <c r="C569" s="148"/>
      <c r="D569" s="147"/>
      <c r="G569" s="144"/>
      <c r="H569" s="144"/>
      <c r="I569" s="144"/>
      <c r="J569" s="144"/>
      <c r="K569" s="144"/>
      <c r="L569" s="144"/>
    </row>
    <row r="570" spans="2:12">
      <c r="B570" s="6" t="s">
        <v>496</v>
      </c>
      <c r="C570" s="8">
        <v>4.555221872911523</v>
      </c>
      <c r="D570" s="8">
        <v>3.0925703871053214</v>
      </c>
      <c r="E570" s="8">
        <f>SUM(C570:D570)</f>
        <v>7.6477922600168444</v>
      </c>
      <c r="G570" s="144"/>
      <c r="H570" s="144"/>
      <c r="I570" s="144"/>
      <c r="J570" s="144"/>
      <c r="K570" s="144"/>
      <c r="L570" s="144"/>
    </row>
    <row r="571" spans="2:12">
      <c r="B571" s="6" t="s">
        <v>497</v>
      </c>
      <c r="C571" s="8">
        <v>0.45552218729115229</v>
      </c>
      <c r="D571" s="8">
        <v>0.30925703871053212</v>
      </c>
      <c r="E571" s="8">
        <f>E570/COUNTA(B559:B568)</f>
        <v>0.76477922600168446</v>
      </c>
      <c r="G571" s="144"/>
      <c r="H571" s="144"/>
      <c r="I571" s="144"/>
      <c r="J571" s="144"/>
      <c r="K571" s="144"/>
      <c r="L571" s="144"/>
    </row>
    <row r="574" spans="2:12">
      <c r="B574" s="6" t="s">
        <v>223</v>
      </c>
      <c r="C574" s="2" t="s">
        <v>524</v>
      </c>
      <c r="D574" s="2"/>
      <c r="E574" s="2"/>
      <c r="F574" s="2"/>
      <c r="G574" s="2"/>
      <c r="H574" s="2"/>
      <c r="I574" s="2"/>
      <c r="J574" s="2"/>
      <c r="K574" s="2"/>
    </row>
    <row r="575" spans="2:12">
      <c r="C575" s="2" t="s">
        <v>525</v>
      </c>
      <c r="D575" s="2"/>
      <c r="E575" s="2"/>
      <c r="F575" s="2"/>
      <c r="G575" s="2"/>
      <c r="H575" s="2"/>
      <c r="I575" s="2"/>
      <c r="J575" s="2"/>
      <c r="K575" s="2"/>
    </row>
    <row r="576" spans="2:12">
      <c r="C576" s="2" t="s">
        <v>504</v>
      </c>
      <c r="D576" s="2"/>
      <c r="E576" s="2"/>
      <c r="F576" s="2"/>
      <c r="G576" s="2"/>
      <c r="H576" s="2"/>
      <c r="I576" s="2"/>
      <c r="J576" s="2"/>
      <c r="K576" s="2"/>
    </row>
    <row r="577" spans="1:13">
      <c r="C577" s="2"/>
      <c r="D577" s="2"/>
      <c r="E577" s="2"/>
      <c r="F577" s="2"/>
      <c r="G577" s="2"/>
      <c r="H577" s="2"/>
      <c r="I577" s="2"/>
      <c r="J577" s="2"/>
      <c r="K577" s="2"/>
    </row>
    <row r="578" spans="1:13">
      <c r="C578" s="9"/>
    </row>
    <row r="580" spans="1:13">
      <c r="A580" s="17" t="s">
        <v>526</v>
      </c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</row>
    <row r="583" spans="1:13">
      <c r="B583" s="6" t="s">
        <v>385</v>
      </c>
      <c r="C583" s="6" t="s">
        <v>505</v>
      </c>
      <c r="D583" s="6" t="s">
        <v>506</v>
      </c>
    </row>
    <row r="584" spans="1:13">
      <c r="B584" s="6" t="s">
        <v>291</v>
      </c>
      <c r="C584" s="8">
        <f t="array" ref="C584:D593">MMULT(MINVERSE(C103:L112),C370:D379)</f>
        <v>-8.139720300030695E-2</v>
      </c>
      <c r="D584" s="8">
        <v>0.36642339182326222</v>
      </c>
      <c r="F584" s="144" t="s">
        <v>513</v>
      </c>
      <c r="G584" s="144"/>
      <c r="H584" s="144"/>
      <c r="I584" s="144"/>
    </row>
    <row r="585" spans="1:13">
      <c r="B585" s="6" t="s">
        <v>292</v>
      </c>
      <c r="C585" s="8">
        <v>-0.13149368228419006</v>
      </c>
      <c r="D585" s="8">
        <v>0.2121430604299897</v>
      </c>
      <c r="F585" s="144" t="s">
        <v>527</v>
      </c>
      <c r="G585" s="144"/>
      <c r="H585" s="144"/>
      <c r="I585" s="144"/>
    </row>
    <row r="586" spans="1:13">
      <c r="B586" s="6" t="s">
        <v>293</v>
      </c>
      <c r="C586" s="8">
        <v>-0.12777052827098834</v>
      </c>
      <c r="D586" s="8">
        <v>0.20690534966536953</v>
      </c>
    </row>
    <row r="587" spans="1:13">
      <c r="B587" s="6" t="s">
        <v>294</v>
      </c>
      <c r="C587" s="8">
        <v>-0.1647896711416581</v>
      </c>
      <c r="D587" s="8">
        <v>-3.112455321923388E-2</v>
      </c>
    </row>
    <row r="588" spans="1:13">
      <c r="B588" s="6" t="s">
        <v>295</v>
      </c>
      <c r="C588" s="8">
        <v>-0.1516589390078118</v>
      </c>
      <c r="D588" s="8">
        <v>1.1145195632015929E-2</v>
      </c>
    </row>
    <row r="589" spans="1:13">
      <c r="B589" s="6" t="s">
        <v>416</v>
      </c>
      <c r="C589" s="8">
        <v>-0.12538918600446047</v>
      </c>
      <c r="D589" s="8">
        <v>-0.13885939123009572</v>
      </c>
    </row>
    <row r="590" spans="1:13">
      <c r="B590" s="6" t="s">
        <v>417</v>
      </c>
      <c r="C590" s="8">
        <v>-0.10566673926486797</v>
      </c>
      <c r="D590" s="8">
        <v>-0.35726571217334335</v>
      </c>
    </row>
    <row r="591" spans="1:13">
      <c r="B591" s="6" t="s">
        <v>418</v>
      </c>
      <c r="C591" s="8">
        <v>-7.9751899189345943E-2</v>
      </c>
      <c r="D591" s="8">
        <v>-0.41726344550626199</v>
      </c>
    </row>
    <row r="592" spans="1:13">
      <c r="B592" s="6" t="s">
        <v>419</v>
      </c>
      <c r="C592" s="8">
        <v>-0.16222276403953995</v>
      </c>
      <c r="D592" s="8">
        <v>2.7955637475425288E-3</v>
      </c>
    </row>
    <row r="593" spans="2:10">
      <c r="B593" s="6" t="s">
        <v>420</v>
      </c>
      <c r="C593" s="8">
        <v>-0.14801132506329306</v>
      </c>
      <c r="D593" s="8">
        <v>4.9101892525983515E-2</v>
      </c>
    </row>
    <row r="596" spans="2:10">
      <c r="B596" s="125" t="s">
        <v>223</v>
      </c>
      <c r="C596" s="2" t="s">
        <v>507</v>
      </c>
      <c r="D596" s="2"/>
      <c r="E596" s="2"/>
      <c r="F596" s="2"/>
      <c r="G596" s="2"/>
      <c r="H596" s="2"/>
      <c r="I596" s="2"/>
    </row>
    <row r="597" spans="2:10">
      <c r="C597" s="2" t="s">
        <v>508</v>
      </c>
      <c r="D597" s="2"/>
      <c r="E597" s="2"/>
      <c r="F597" s="2"/>
      <c r="G597" s="2"/>
      <c r="H597" s="2"/>
      <c r="I597" s="2"/>
    </row>
    <row r="598" spans="2:10">
      <c r="C598" s="2"/>
      <c r="D598" s="2"/>
      <c r="E598" s="2"/>
      <c r="F598" s="2"/>
      <c r="G598" s="2"/>
      <c r="H598" s="2"/>
      <c r="I598" s="2"/>
    </row>
    <row r="600" spans="2:10">
      <c r="B600" s="6" t="s">
        <v>385</v>
      </c>
      <c r="C600" s="6" t="s">
        <v>399</v>
      </c>
      <c r="D600" s="6" t="s">
        <v>405</v>
      </c>
    </row>
    <row r="601" spans="2:10">
      <c r="B601" s="6">
        <v>1</v>
      </c>
      <c r="C601" s="8">
        <f t="array" ref="C601:D630">MMULT(C60:L89,C584:D593)</f>
        <v>-0.71663248344240449</v>
      </c>
      <c r="D601" s="8">
        <v>1.1617545914425811</v>
      </c>
      <c r="F601" s="144" t="s">
        <v>509</v>
      </c>
      <c r="G601" s="144"/>
      <c r="H601" s="144"/>
      <c r="I601" s="144"/>
      <c r="J601" s="144"/>
    </row>
    <row r="602" spans="2:10">
      <c r="B602" s="6">
        <f>B601+1</f>
        <v>2</v>
      </c>
      <c r="C602" s="8">
        <v>1.6199691497528759</v>
      </c>
      <c r="D602" s="8">
        <v>-0.75521756022112863</v>
      </c>
      <c r="F602" s="144"/>
      <c r="G602" s="144"/>
      <c r="H602" s="144"/>
      <c r="I602" s="144"/>
      <c r="J602" s="144"/>
    </row>
    <row r="603" spans="2:10">
      <c r="B603" s="6">
        <f t="shared" ref="B603:B630" si="52">B602+1</f>
        <v>3</v>
      </c>
      <c r="C603" s="8">
        <v>0.89362677962227366</v>
      </c>
      <c r="D603" s="8">
        <v>-0.77993069774630808</v>
      </c>
      <c r="F603" s="144">
        <f t="array" ref="F603:G604">MMULT(TRANSPOSE(C601:D630),C601:D630)/COUNTA(B601:B630)</f>
        <v>1.0000000000000073</v>
      </c>
      <c r="G603" s="144">
        <v>-4.0902466598898478E-15</v>
      </c>
      <c r="H603" s="144"/>
      <c r="I603" s="144"/>
      <c r="J603" s="144"/>
    </row>
    <row r="604" spans="2:10">
      <c r="B604" s="6">
        <f t="shared" si="52"/>
        <v>4</v>
      </c>
      <c r="C604" s="8">
        <v>-0.12116567118437016</v>
      </c>
      <c r="D604" s="8">
        <v>0.77448473626830783</v>
      </c>
      <c r="F604" s="144">
        <v>-4.0902466598898478E-15</v>
      </c>
      <c r="G604" s="144">
        <v>1.000000000000004</v>
      </c>
      <c r="H604" s="144"/>
      <c r="I604" s="144"/>
      <c r="J604" s="144"/>
    </row>
    <row r="605" spans="2:10">
      <c r="B605" s="6">
        <f t="shared" si="52"/>
        <v>5</v>
      </c>
      <c r="C605" s="8">
        <v>0.54375172092875668</v>
      </c>
      <c r="D605" s="8">
        <v>1.9911568854695723</v>
      </c>
      <c r="F605" s="144"/>
      <c r="G605" s="144"/>
      <c r="H605" s="144"/>
      <c r="I605" s="144"/>
      <c r="J605" s="144"/>
    </row>
    <row r="606" spans="2:10">
      <c r="B606" s="6">
        <f t="shared" si="52"/>
        <v>6</v>
      </c>
      <c r="C606" s="8">
        <v>0.59861202179637207</v>
      </c>
      <c r="D606" s="8">
        <v>-1.123029277239747</v>
      </c>
      <c r="F606" s="144" t="s">
        <v>511</v>
      </c>
      <c r="G606" s="144"/>
      <c r="H606" s="144"/>
      <c r="I606" s="144"/>
      <c r="J606" s="144"/>
    </row>
    <row r="607" spans="2:10">
      <c r="B607" s="6">
        <f t="shared" si="52"/>
        <v>7</v>
      </c>
      <c r="C607" s="8">
        <v>5.1206916573181632E-2</v>
      </c>
      <c r="D607" s="8">
        <v>0.21105351728032107</v>
      </c>
      <c r="F607" s="144"/>
      <c r="G607" s="144"/>
      <c r="H607" s="144"/>
      <c r="I607" s="144"/>
      <c r="J607" s="144"/>
    </row>
    <row r="608" spans="2:10">
      <c r="B608" s="6">
        <f t="shared" si="52"/>
        <v>8</v>
      </c>
      <c r="C608" s="8">
        <v>-0.46736541872668375</v>
      </c>
      <c r="D608" s="8">
        <v>1.6353454973658521</v>
      </c>
      <c r="F608" s="144"/>
      <c r="G608" s="144"/>
      <c r="H608" s="144"/>
      <c r="I608" s="144"/>
      <c r="J608" s="144"/>
    </row>
    <row r="609" spans="2:10">
      <c r="B609" s="6">
        <f t="shared" si="52"/>
        <v>9</v>
      </c>
      <c r="C609" s="8">
        <v>-0.26602253442725105</v>
      </c>
      <c r="D609" s="8">
        <v>0.37125501530494354</v>
      </c>
      <c r="F609" s="144" t="s">
        <v>514</v>
      </c>
      <c r="G609" s="144"/>
      <c r="H609" s="144"/>
      <c r="I609" s="144"/>
      <c r="J609" s="144"/>
    </row>
    <row r="610" spans="2:10">
      <c r="B610" s="6">
        <f t="shared" si="52"/>
        <v>10</v>
      </c>
      <c r="C610" s="8">
        <v>0.49895403083977352</v>
      </c>
      <c r="D610" s="8">
        <v>0.20228211524707962</v>
      </c>
      <c r="F610" s="144" t="s">
        <v>512</v>
      </c>
      <c r="G610" s="144"/>
      <c r="H610" s="144"/>
      <c r="I610" s="144"/>
      <c r="J610" s="144"/>
    </row>
    <row r="611" spans="2:10">
      <c r="B611" s="6">
        <f t="shared" si="52"/>
        <v>11</v>
      </c>
      <c r="C611" s="8">
        <v>0.96403333426539484</v>
      </c>
      <c r="D611" s="8">
        <v>1.4316510054535629</v>
      </c>
      <c r="F611" s="144"/>
      <c r="G611" s="144"/>
      <c r="H611" s="144"/>
      <c r="I611" s="144"/>
      <c r="J611" s="144"/>
    </row>
    <row r="612" spans="2:10">
      <c r="B612" s="6">
        <f t="shared" si="52"/>
        <v>12</v>
      </c>
      <c r="C612" s="8">
        <v>-1.465250694386792</v>
      </c>
      <c r="D612" s="8">
        <v>-0.3827069881981548</v>
      </c>
    </row>
    <row r="613" spans="2:10">
      <c r="B613" s="6">
        <f t="shared" si="52"/>
        <v>13</v>
      </c>
      <c r="C613" s="8">
        <v>-0.22239444648256015</v>
      </c>
      <c r="D613" s="8">
        <v>-1.674620408779615</v>
      </c>
    </row>
    <row r="614" spans="2:10">
      <c r="B614" s="6">
        <f t="shared" si="52"/>
        <v>14</v>
      </c>
      <c r="C614" s="8">
        <v>0.36935207269936948</v>
      </c>
      <c r="D614" s="8">
        <v>1.6124200842024136E-2</v>
      </c>
    </row>
    <row r="615" spans="2:10">
      <c r="B615" s="6">
        <f t="shared" si="52"/>
        <v>15</v>
      </c>
      <c r="C615" s="8">
        <v>-0.48100395326826578</v>
      </c>
      <c r="D615" s="8">
        <v>0.13841169076835033</v>
      </c>
    </row>
    <row r="616" spans="2:10">
      <c r="B616" s="6">
        <f t="shared" si="52"/>
        <v>16</v>
      </c>
      <c r="C616" s="8">
        <v>-0.7489045715008612</v>
      </c>
      <c r="D616" s="8">
        <v>-1.1958216721840302</v>
      </c>
    </row>
    <row r="617" spans="2:10">
      <c r="B617" s="6">
        <f t="shared" si="52"/>
        <v>17</v>
      </c>
      <c r="C617" s="8">
        <v>2.497842855540648</v>
      </c>
      <c r="D617" s="8">
        <v>-0.94173608066533154</v>
      </c>
    </row>
    <row r="618" spans="2:10">
      <c r="B618" s="6">
        <f t="shared" si="52"/>
        <v>18</v>
      </c>
      <c r="C618" s="8">
        <v>-0.13337000962992798</v>
      </c>
      <c r="D618" s="8">
        <v>1.5928225634409099</v>
      </c>
    </row>
    <row r="619" spans="2:10">
      <c r="B619" s="6">
        <f t="shared" si="52"/>
        <v>19</v>
      </c>
      <c r="C619" s="8">
        <v>-0.22971265543842304</v>
      </c>
      <c r="D619" s="8">
        <v>0.23943439690668566</v>
      </c>
    </row>
    <row r="620" spans="2:10">
      <c r="B620" s="6">
        <f t="shared" si="52"/>
        <v>20</v>
      </c>
      <c r="C620" s="8">
        <v>-0.92617888598519404</v>
      </c>
      <c r="D620" s="8">
        <v>1.2501388159120927</v>
      </c>
    </row>
    <row r="621" spans="2:10">
      <c r="B621" s="6">
        <f t="shared" si="52"/>
        <v>21</v>
      </c>
      <c r="C621" s="8">
        <v>-0.27427970152709902</v>
      </c>
      <c r="D621" s="8">
        <v>0.93393033310484175</v>
      </c>
    </row>
    <row r="622" spans="2:10">
      <c r="B622" s="6">
        <f t="shared" si="52"/>
        <v>22</v>
      </c>
      <c r="C622" s="8">
        <v>0.21214405573045486</v>
      </c>
      <c r="D622" s="8">
        <v>-0.10970660674631053</v>
      </c>
    </row>
    <row r="623" spans="2:10">
      <c r="B623" s="6">
        <f t="shared" si="52"/>
        <v>23</v>
      </c>
      <c r="C623" s="8">
        <v>7.9150065446796203E-2</v>
      </c>
      <c r="D623" s="8">
        <v>-0.34457595198229318</v>
      </c>
    </row>
    <row r="624" spans="2:10">
      <c r="B624" s="6">
        <f t="shared" si="52"/>
        <v>24</v>
      </c>
      <c r="C624" s="8">
        <v>-0.31011041685354501</v>
      </c>
      <c r="D624" s="8">
        <v>-6.2938854420726706E-2</v>
      </c>
    </row>
    <row r="625" spans="1:13">
      <c r="B625" s="6">
        <f t="shared" si="52"/>
        <v>25</v>
      </c>
      <c r="C625" s="8">
        <v>-0.85798367265475239</v>
      </c>
      <c r="D625" s="8">
        <v>-1.1780608779568895</v>
      </c>
    </row>
    <row r="626" spans="1:13">
      <c r="B626" s="6">
        <f t="shared" si="52"/>
        <v>26</v>
      </c>
      <c r="C626" s="8">
        <v>-1.7604508882615262</v>
      </c>
      <c r="D626" s="8">
        <v>-0.1695406864028354</v>
      </c>
    </row>
    <row r="627" spans="1:13">
      <c r="B627" s="6">
        <f t="shared" si="52"/>
        <v>27</v>
      </c>
      <c r="C627" s="8">
        <v>-0.38058732941199935</v>
      </c>
      <c r="D627" s="8">
        <v>-0.84566134523117475</v>
      </c>
    </row>
    <row r="628" spans="1:13">
      <c r="B628" s="6">
        <f t="shared" si="52"/>
        <v>28</v>
      </c>
      <c r="C628" s="8">
        <v>-1.6794749987665329</v>
      </c>
      <c r="D628" s="8">
        <v>-1.0613120522649522</v>
      </c>
    </row>
    <row r="629" spans="1:13">
      <c r="B629" s="6">
        <f t="shared" si="52"/>
        <v>29</v>
      </c>
      <c r="C629" s="8">
        <v>2.566596517774534</v>
      </c>
      <c r="D629" s="8">
        <v>0.36499964834302395</v>
      </c>
    </row>
    <row r="630" spans="1:13">
      <c r="B630" s="6">
        <f t="shared" si="52"/>
        <v>30</v>
      </c>
      <c r="C630" s="8">
        <v>0.14564881097773627</v>
      </c>
      <c r="D630" s="8">
        <v>-1.6899859531106627</v>
      </c>
    </row>
    <row r="632" spans="1:13">
      <c r="B632" s="6" t="s">
        <v>328</v>
      </c>
      <c r="C632" s="8">
        <f>AVERAGE(C601:C630)</f>
        <v>-7.1886940844478882E-16</v>
      </c>
      <c r="D632" s="8">
        <f>AVERAGE(D601:D630)</f>
        <v>-3.7747582837255321E-16</v>
      </c>
    </row>
    <row r="633" spans="1:13">
      <c r="B633" s="6" t="s">
        <v>396</v>
      </c>
      <c r="C633" s="8">
        <f>_xlfn.STDEV.P(C601:C630)</f>
        <v>1.0000000000000036</v>
      </c>
      <c r="D633" s="8">
        <f>_xlfn.STDEV.P(D601:D630)</f>
        <v>1.000000000000002</v>
      </c>
      <c r="F633" s="144" t="s">
        <v>510</v>
      </c>
      <c r="G633" s="144"/>
      <c r="H633" s="144"/>
    </row>
    <row r="637" spans="1:13">
      <c r="A637" s="17" t="s">
        <v>528</v>
      </c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</row>
    <row r="640" spans="1:13">
      <c r="B640" s="6" t="s">
        <v>385</v>
      </c>
      <c r="C640" s="6" t="s">
        <v>505</v>
      </c>
      <c r="D640" s="6" t="s">
        <v>506</v>
      </c>
    </row>
    <row r="641" spans="2:9">
      <c r="B641" s="6" t="s">
        <v>291</v>
      </c>
      <c r="C641" s="8">
        <f t="array" ref="C641:D650">MMULT(MINVERSE(C103:L112),C494:D503)</f>
        <v>0.27348293714794036</v>
      </c>
      <c r="D641" s="8">
        <v>-0.25709665371218066</v>
      </c>
    </row>
    <row r="642" spans="2:9">
      <c r="B642" s="6" t="s">
        <v>292</v>
      </c>
      <c r="C642" s="8">
        <v>0.22807700880638609</v>
      </c>
      <c r="D642" s="8">
        <v>-0.1013713206296748</v>
      </c>
    </row>
    <row r="643" spans="2:9">
      <c r="B643" s="6" t="s">
        <v>293</v>
      </c>
      <c r="C643" s="8">
        <v>0.22205188724275049</v>
      </c>
      <c r="D643" s="8">
        <v>-9.9136729305526999E-2</v>
      </c>
      <c r="F643" s="144" t="s">
        <v>515</v>
      </c>
      <c r="G643" s="144"/>
      <c r="H643" s="144"/>
      <c r="I643" s="144"/>
    </row>
    <row r="644" spans="2:9">
      <c r="B644" s="6" t="s">
        <v>294</v>
      </c>
      <c r="C644" s="8">
        <v>0.11870748348259008</v>
      </c>
      <c r="D644" s="8">
        <v>0.1184605730968753</v>
      </c>
      <c r="F644" s="144" t="s">
        <v>527</v>
      </c>
      <c r="G644" s="144"/>
      <c r="H644" s="144"/>
      <c r="I644" s="144"/>
    </row>
    <row r="645" spans="2:9">
      <c r="B645" s="6" t="s">
        <v>295</v>
      </c>
      <c r="C645" s="8">
        <v>0.13163941743325022</v>
      </c>
      <c r="D645" s="8">
        <v>7.6129581686431191E-2</v>
      </c>
    </row>
    <row r="646" spans="2:9">
      <c r="B646" s="6" t="s">
        <v>416</v>
      </c>
      <c r="C646" s="8">
        <v>2.5512001443402488E-2</v>
      </c>
      <c r="D646" s="8">
        <v>0.18534701641098295</v>
      </c>
    </row>
    <row r="647" spans="2:9">
      <c r="B647" s="6" t="s">
        <v>417</v>
      </c>
      <c r="C647" s="8">
        <v>-0.11369467323628801</v>
      </c>
      <c r="D647" s="8">
        <v>0.35479257364446337</v>
      </c>
    </row>
    <row r="648" spans="2:9">
      <c r="B648" s="6" t="s">
        <v>418</v>
      </c>
      <c r="C648" s="8">
        <v>-0.16887936187373173</v>
      </c>
      <c r="D648" s="8">
        <v>0.38980624581353801</v>
      </c>
    </row>
    <row r="649" spans="2:9">
      <c r="B649" s="6" t="s">
        <v>419</v>
      </c>
      <c r="C649" s="8">
        <v>0.13567335337405639</v>
      </c>
      <c r="D649" s="8">
        <v>8.8976295617087642E-2</v>
      </c>
    </row>
    <row r="650" spans="2:9">
      <c r="B650" s="6" t="s">
        <v>420</v>
      </c>
      <c r="C650" s="8">
        <v>0.14998342518545282</v>
      </c>
      <c r="D650" s="8">
        <v>4.2700353405620728E-2</v>
      </c>
    </row>
    <row r="653" spans="2:9">
      <c r="B653" s="6" t="s">
        <v>223</v>
      </c>
      <c r="C653" s="2" t="s">
        <v>507</v>
      </c>
      <c r="D653" s="2"/>
      <c r="E653" s="2"/>
      <c r="F653" s="2"/>
      <c r="G653" s="2"/>
      <c r="H653" s="2"/>
      <c r="I653" s="2"/>
    </row>
    <row r="654" spans="2:9">
      <c r="C654" s="2" t="s">
        <v>508</v>
      </c>
      <c r="D654" s="2"/>
      <c r="E654" s="2"/>
      <c r="F654" s="2"/>
      <c r="G654" s="2"/>
      <c r="H654" s="2"/>
      <c r="I654" s="2"/>
    </row>
    <row r="655" spans="2:9">
      <c r="C655" s="2"/>
      <c r="D655" s="2"/>
      <c r="E655" s="2"/>
      <c r="F655" s="2"/>
      <c r="G655" s="2"/>
      <c r="H655" s="2"/>
      <c r="I655" s="2"/>
    </row>
    <row r="657" spans="2:9">
      <c r="B657" s="6" t="s">
        <v>385</v>
      </c>
      <c r="C657" s="6" t="s">
        <v>399</v>
      </c>
      <c r="D657" s="6" t="s">
        <v>405</v>
      </c>
    </row>
    <row r="658" spans="2:9">
      <c r="B658" s="6">
        <v>1</v>
      </c>
      <c r="C658" s="8">
        <f t="array" ref="C658:D687">MMULT(C60:L89,C641:D650)</f>
        <v>1.2461501716913852</v>
      </c>
      <c r="D658" s="8">
        <v>-0.55708670647789904</v>
      </c>
      <c r="F658" s="144" t="s">
        <v>509</v>
      </c>
      <c r="G658" s="144"/>
      <c r="H658" s="144"/>
      <c r="I658" s="144"/>
    </row>
    <row r="659" spans="2:9">
      <c r="B659" s="6">
        <f>B658+1</f>
        <v>2</v>
      </c>
      <c r="C659" s="8">
        <v>-1.76411693886663</v>
      </c>
      <c r="D659" s="8">
        <v>-0.28730651910667393</v>
      </c>
      <c r="F659" s="144"/>
      <c r="G659" s="144"/>
      <c r="H659" s="144"/>
      <c r="I659" s="144"/>
    </row>
    <row r="660" spans="2:9">
      <c r="B660" s="6">
        <f t="shared" ref="B660:B687" si="53">B659+1</f>
        <v>3</v>
      </c>
      <c r="C660" s="8">
        <v>-1.1775983094448486</v>
      </c>
      <c r="D660" s="8">
        <v>0.14185531362753451</v>
      </c>
      <c r="F660" s="144">
        <f t="array" ref="F660:G661">MMULT(TRANSPOSE(C658:D687),C658:D687)/COUNTA(B658:B687)</f>
        <v>0.99999999986832855</v>
      </c>
      <c r="G660" s="144">
        <v>-5.0468592268278673E-12</v>
      </c>
      <c r="H660" s="144"/>
      <c r="I660" s="144"/>
    </row>
    <row r="661" spans="2:9">
      <c r="B661" s="6">
        <f t="shared" si="53"/>
        <v>4</v>
      </c>
      <c r="C661" s="8">
        <v>0.5359846228267382</v>
      </c>
      <c r="D661" s="8">
        <v>-0.57203864439436081</v>
      </c>
      <c r="F661" s="144">
        <v>-5.0468592268278673E-12</v>
      </c>
      <c r="G661" s="144">
        <v>1.000000000087621</v>
      </c>
      <c r="H661" s="144"/>
      <c r="I661" s="144"/>
    </row>
    <row r="662" spans="2:9">
      <c r="B662" s="6">
        <f t="shared" si="53"/>
        <v>5</v>
      </c>
      <c r="C662" s="8">
        <v>0.67099073160206579</v>
      </c>
      <c r="D662" s="8">
        <v>-1.9519587869868267</v>
      </c>
      <c r="F662" s="144"/>
      <c r="G662" s="144"/>
      <c r="H662" s="144"/>
      <c r="I662" s="144"/>
    </row>
    <row r="663" spans="2:9">
      <c r="B663" s="6">
        <f t="shared" si="53"/>
        <v>6</v>
      </c>
      <c r="C663" s="8">
        <v>-1.1267976524070356</v>
      </c>
      <c r="D663" s="8">
        <v>0.59148809193098617</v>
      </c>
      <c r="F663" s="144"/>
      <c r="G663" s="144"/>
      <c r="H663" s="144"/>
      <c r="I663" s="144"/>
    </row>
    <row r="664" spans="2:9">
      <c r="B664" s="6">
        <f t="shared" si="53"/>
        <v>7</v>
      </c>
      <c r="C664" s="8">
        <v>7.6435834646338546E-2</v>
      </c>
      <c r="D664" s="8">
        <v>-0.20328132974487945</v>
      </c>
      <c r="F664" s="144" t="s">
        <v>516</v>
      </c>
      <c r="G664" s="144"/>
      <c r="H664" s="144"/>
      <c r="I664" s="144"/>
    </row>
    <row r="665" spans="2:9">
      <c r="B665" s="6">
        <f t="shared" si="53"/>
        <v>8</v>
      </c>
      <c r="C665" s="8">
        <v>1.3065981298824698</v>
      </c>
      <c r="D665" s="8">
        <v>-1.0888464826130284</v>
      </c>
      <c r="F665" s="144" t="s">
        <v>512</v>
      </c>
      <c r="G665" s="144"/>
      <c r="H665" s="144"/>
      <c r="I665" s="144"/>
    </row>
    <row r="666" spans="2:9">
      <c r="B666" s="6">
        <f t="shared" si="53"/>
        <v>9</v>
      </c>
      <c r="C666" s="8">
        <v>0.42882094887293093</v>
      </c>
      <c r="D666" s="8">
        <v>-0.15719690805431058</v>
      </c>
    </row>
    <row r="667" spans="2:9">
      <c r="B667" s="6">
        <f t="shared" si="53"/>
        <v>10</v>
      </c>
      <c r="C667" s="8">
        <v>-0.29862682191373491</v>
      </c>
      <c r="D667" s="8">
        <v>-0.44799017824384268</v>
      </c>
    </row>
    <row r="668" spans="2:9">
      <c r="B668" s="6">
        <f t="shared" si="53"/>
        <v>11</v>
      </c>
      <c r="C668" s="8">
        <v>8.71873047124197E-3</v>
      </c>
      <c r="D668" s="8">
        <v>-1.7259515815544497</v>
      </c>
    </row>
    <row r="669" spans="2:9">
      <c r="B669" s="6">
        <f t="shared" si="53"/>
        <v>12</v>
      </c>
      <c r="C669" s="8">
        <v>0.99587854434534262</v>
      </c>
      <c r="D669" s="8">
        <v>1.1408988407703364</v>
      </c>
    </row>
    <row r="670" spans="2:9">
      <c r="B670" s="6">
        <f t="shared" si="53"/>
        <v>13</v>
      </c>
      <c r="C670" s="8">
        <v>-0.75851446177852377</v>
      </c>
      <c r="D670" s="8">
        <v>1.5094597098101303</v>
      </c>
    </row>
    <row r="671" spans="2:9">
      <c r="B671" s="6">
        <f t="shared" si="53"/>
        <v>14</v>
      </c>
      <c r="C671" s="8">
        <v>-0.2962485466245845</v>
      </c>
      <c r="D671" s="8">
        <v>-0.2211735568359374</v>
      </c>
    </row>
    <row r="672" spans="2:9">
      <c r="B672" s="6">
        <f t="shared" si="53"/>
        <v>15</v>
      </c>
      <c r="C672" s="8">
        <v>0.47550633851183038</v>
      </c>
      <c r="D672" s="8">
        <v>0.15625723366545446</v>
      </c>
    </row>
    <row r="673" spans="2:4">
      <c r="B673" s="6">
        <f t="shared" si="53"/>
        <v>16</v>
      </c>
      <c r="C673" s="8">
        <v>-5.3845607787035732E-2</v>
      </c>
      <c r="D673" s="8">
        <v>1.4099461640135225</v>
      </c>
    </row>
    <row r="674" spans="2:4">
      <c r="B674" s="6">
        <f t="shared" si="53"/>
        <v>17</v>
      </c>
      <c r="C674" s="8">
        <v>-2.5947636752307162</v>
      </c>
      <c r="D674" s="8">
        <v>-0.62712617650167946</v>
      </c>
    </row>
    <row r="675" spans="2:4">
      <c r="B675" s="6">
        <f t="shared" si="53"/>
        <v>18</v>
      </c>
      <c r="C675" s="8">
        <v>1.0065745349593864</v>
      </c>
      <c r="D675" s="8">
        <v>-1.2416436610238915</v>
      </c>
    </row>
    <row r="676" spans="2:4">
      <c r="B676" s="6">
        <f t="shared" si="53"/>
        <v>19</v>
      </c>
      <c r="C676" s="8">
        <v>0.32462656451821281</v>
      </c>
      <c r="D676" s="8">
        <v>-6.8660966394562067E-2</v>
      </c>
    </row>
    <row r="677" spans="2:4">
      <c r="B677" s="6">
        <f t="shared" si="53"/>
        <v>20</v>
      </c>
      <c r="C677" s="8">
        <v>1.4691063543313365</v>
      </c>
      <c r="D677" s="8">
        <v>-0.51223130484969359</v>
      </c>
    </row>
    <row r="678" spans="2:4">
      <c r="B678" s="6">
        <f t="shared" si="53"/>
        <v>21</v>
      </c>
      <c r="C678" s="8">
        <v>0.75227961157717294</v>
      </c>
      <c r="D678" s="8">
        <v>-0.61768163805384901</v>
      </c>
    </row>
    <row r="679" spans="2:4">
      <c r="B679" s="6">
        <f t="shared" si="53"/>
        <v>22</v>
      </c>
      <c r="C679" s="8">
        <v>-0.23710220428594542</v>
      </c>
      <c r="D679" s="8">
        <v>-2.8691188846780527E-2</v>
      </c>
    </row>
    <row r="680" spans="2:4">
      <c r="B680" s="6">
        <f t="shared" si="53"/>
        <v>23</v>
      </c>
      <c r="C680" s="8">
        <v>-0.25933120348951888</v>
      </c>
      <c r="D680" s="8">
        <v>0.24030116063622048</v>
      </c>
    </row>
    <row r="681" spans="2:4">
      <c r="B681" s="6">
        <f t="shared" si="53"/>
        <v>24</v>
      </c>
      <c r="C681" s="8">
        <v>0.22093298476170317</v>
      </c>
      <c r="D681" s="8">
        <v>0.22653561662503474</v>
      </c>
    </row>
    <row r="682" spans="2:4">
      <c r="B682" s="6">
        <f t="shared" si="53"/>
        <v>25</v>
      </c>
      <c r="C682" s="8">
        <v>4.6318291061727912E-2</v>
      </c>
      <c r="D682" s="8">
        <v>1.4566461578618846</v>
      </c>
    </row>
    <row r="683" spans="2:4">
      <c r="B683" s="6">
        <f t="shared" si="53"/>
        <v>26</v>
      </c>
      <c r="C683" s="8">
        <v>1.3598581001526322</v>
      </c>
      <c r="D683" s="8">
        <v>1.1308038357977637</v>
      </c>
    </row>
    <row r="684" spans="2:4">
      <c r="B684" s="6">
        <f t="shared" si="53"/>
        <v>27</v>
      </c>
      <c r="C684" s="8">
        <v>-0.16126736964785576</v>
      </c>
      <c r="D684" s="8">
        <v>0.91322651108441566</v>
      </c>
    </row>
    <row r="685" spans="2:4">
      <c r="B685" s="6">
        <f t="shared" si="53"/>
        <v>28</v>
      </c>
      <c r="C685" s="8">
        <v>0.79109562957973834</v>
      </c>
      <c r="D685" s="8">
        <v>1.822412480707857</v>
      </c>
    </row>
    <row r="686" spans="2:4">
      <c r="B686" s="6">
        <f t="shared" si="53"/>
        <v>29</v>
      </c>
      <c r="C686" s="8">
        <v>-1.9162620952082552</v>
      </c>
      <c r="D686" s="8">
        <v>-1.7460189030877862</v>
      </c>
    </row>
    <row r="687" spans="2:4">
      <c r="B687" s="6">
        <f t="shared" si="53"/>
        <v>30</v>
      </c>
      <c r="C687" s="8">
        <v>-1.0714012371075581</v>
      </c>
      <c r="D687" s="8">
        <v>1.3150534162393317</v>
      </c>
    </row>
    <row r="689" spans="2:8">
      <c r="B689" s="6" t="s">
        <v>328</v>
      </c>
      <c r="C689" s="8">
        <f>AVERAGE(C658:C687)</f>
        <v>3.7747582837255321E-16</v>
      </c>
      <c r="D689" s="8">
        <f>AVERAGE(D658:D687)</f>
        <v>7.2534570942176893E-16</v>
      </c>
    </row>
    <row r="690" spans="2:8">
      <c r="B690" s="6" t="s">
        <v>396</v>
      </c>
      <c r="C690" s="8">
        <f>_xlfn.STDEV.P(C658:C687)</f>
        <v>0.99999999993416422</v>
      </c>
      <c r="D690" s="8">
        <f>_xlfn.STDEV.P(D658:D687)</f>
        <v>1.0000000000438105</v>
      </c>
      <c r="F690" s="144" t="s">
        <v>510</v>
      </c>
      <c r="G690" s="144"/>
      <c r="H690" s="144"/>
    </row>
  </sheetData>
  <mergeCells count="4">
    <mergeCell ref="C557:D557"/>
    <mergeCell ref="C202:L202"/>
    <mergeCell ref="E422:F425"/>
    <mergeCell ref="C492:D49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163"/>
  <sheetViews>
    <sheetView workbookViewId="0">
      <selection activeCell="C34" sqref="C34"/>
    </sheetView>
  </sheetViews>
  <sheetFormatPr baseColWidth="10" defaultRowHeight="12.75"/>
  <cols>
    <col min="2" max="2" width="13.7109375" customWidth="1"/>
  </cols>
  <sheetData>
    <row r="1" spans="1:53" s="10" customFormat="1" ht="20.25">
      <c r="A1" s="10" t="s">
        <v>471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446</v>
      </c>
      <c r="B7" s="9"/>
    </row>
    <row r="9" spans="1:53">
      <c r="B9" s="6" t="s">
        <v>385</v>
      </c>
      <c r="C9" s="6" t="s">
        <v>386</v>
      </c>
      <c r="D9" s="6" t="s">
        <v>387</v>
      </c>
      <c r="E9" s="6" t="s">
        <v>388</v>
      </c>
      <c r="F9" s="6" t="s">
        <v>389</v>
      </c>
      <c r="G9" s="6" t="s">
        <v>390</v>
      </c>
      <c r="H9" s="6" t="s">
        <v>391</v>
      </c>
      <c r="I9" s="6" t="s">
        <v>392</v>
      </c>
      <c r="J9" s="6" t="s">
        <v>393</v>
      </c>
      <c r="K9" s="6" t="s">
        <v>394</v>
      </c>
      <c r="L9" s="6" t="s">
        <v>395</v>
      </c>
    </row>
    <row r="10" spans="1:53">
      <c r="B10" s="6">
        <v>1</v>
      </c>
      <c r="C10" s="2">
        <v>105.12588249091399</v>
      </c>
      <c r="D10" s="2">
        <v>101.65869762564587</v>
      </c>
      <c r="E10" s="2">
        <v>115.0603370260315</v>
      </c>
      <c r="F10" s="2">
        <v>100.99814211716398</v>
      </c>
      <c r="G10" s="2">
        <v>95.184438278991394</v>
      </c>
      <c r="H10" s="2">
        <v>100.28127077439498</v>
      </c>
      <c r="I10" s="2">
        <v>101.66689693464429</v>
      </c>
      <c r="J10" s="2">
        <v>85.55300689326009</v>
      </c>
      <c r="K10" s="2">
        <v>104.03459937049359</v>
      </c>
      <c r="L10" s="2">
        <v>110.27806113280428</v>
      </c>
    </row>
    <row r="11" spans="1:53">
      <c r="B11" s="6">
        <f>B10+1</f>
        <v>2</v>
      </c>
      <c r="C11" s="2">
        <v>77.049018003512771</v>
      </c>
      <c r="D11" s="2">
        <v>72.933421046117758</v>
      </c>
      <c r="E11" s="2">
        <v>77.485093963173128</v>
      </c>
      <c r="F11" s="2">
        <v>72.743694632449063</v>
      </c>
      <c r="G11" s="2">
        <v>61.563003066168903</v>
      </c>
      <c r="H11" s="2">
        <v>93.854052056439585</v>
      </c>
      <c r="I11" s="2">
        <v>95.391729497379274</v>
      </c>
      <c r="J11" s="2">
        <v>88.609307211967874</v>
      </c>
      <c r="K11" s="2">
        <v>70.115286877735187</v>
      </c>
      <c r="L11" s="2">
        <v>72.000300512953288</v>
      </c>
    </row>
    <row r="12" spans="1:53">
      <c r="B12" s="6">
        <f t="shared" ref="B12:B39" si="0">B11+1</f>
        <v>3</v>
      </c>
      <c r="C12" s="2">
        <v>86.016702154346902</v>
      </c>
      <c r="D12" s="2">
        <v>82.206477566180013</v>
      </c>
      <c r="E12" s="2">
        <v>78.888889380291658</v>
      </c>
      <c r="F12" s="2">
        <v>77.951179382575958</v>
      </c>
      <c r="G12" s="2">
        <v>91.705126399108153</v>
      </c>
      <c r="H12" s="2">
        <v>86.773382845222443</v>
      </c>
      <c r="I12" s="2">
        <v>108.07002759822851</v>
      </c>
      <c r="J12" s="2">
        <v>93.347801429577274</v>
      </c>
      <c r="K12" s="2">
        <v>86.021107710470645</v>
      </c>
      <c r="L12" s="2">
        <v>70.687901660079078</v>
      </c>
    </row>
    <row r="13" spans="1:53">
      <c r="B13" s="6">
        <f t="shared" si="0"/>
        <v>4</v>
      </c>
      <c r="C13" s="2">
        <v>91.424704559144402</v>
      </c>
      <c r="D13" s="2">
        <v>106.1065437955032</v>
      </c>
      <c r="E13" s="2">
        <v>95.63981812495912</v>
      </c>
      <c r="F13" s="2">
        <v>90.900565578778085</v>
      </c>
      <c r="G13" s="2">
        <v>111.46615684502225</v>
      </c>
      <c r="H13" s="2">
        <v>100.24839858093412</v>
      </c>
      <c r="I13" s="2">
        <v>86.080498454656578</v>
      </c>
      <c r="J13" s="2">
        <v>93.822049957967607</v>
      </c>
      <c r="K13" s="2">
        <v>101.22391420189811</v>
      </c>
      <c r="L13" s="2">
        <v>82.665472899756409</v>
      </c>
    </row>
    <row r="14" spans="1:53">
      <c r="B14" s="6">
        <f t="shared" si="0"/>
        <v>5</v>
      </c>
      <c r="C14" s="2">
        <v>113.71431530236973</v>
      </c>
      <c r="D14" s="2">
        <v>92.028720540782544</v>
      </c>
      <c r="E14" s="2">
        <v>99.078943914512777</v>
      </c>
      <c r="F14" s="2">
        <v>79.277423781682998</v>
      </c>
      <c r="G14" s="2">
        <v>98.41610092997162</v>
      </c>
      <c r="H14" s="2">
        <v>104.01265533431027</v>
      </c>
      <c r="I14" s="2">
        <v>83.27108684181465</v>
      </c>
      <c r="J14" s="2">
        <v>69.621481627782259</v>
      </c>
      <c r="K14" s="2">
        <v>82.820226622535287</v>
      </c>
      <c r="L14" s="2">
        <v>70.022294924810808</v>
      </c>
    </row>
    <row r="15" spans="1:53">
      <c r="B15" s="6">
        <f t="shared" si="0"/>
        <v>6</v>
      </c>
      <c r="C15" s="2">
        <v>86.606144472019324</v>
      </c>
      <c r="D15" s="2">
        <v>87.817139934366281</v>
      </c>
      <c r="E15" s="2">
        <v>67.662535180904058</v>
      </c>
      <c r="F15" s="2">
        <v>93.662206261407135</v>
      </c>
      <c r="G15" s="2">
        <v>77.996703884141027</v>
      </c>
      <c r="H15" s="2">
        <v>99.821579075318169</v>
      </c>
      <c r="I15" s="2">
        <v>97.275232371643824</v>
      </c>
      <c r="J15" s="2">
        <v>108.62156978353451</v>
      </c>
      <c r="K15" s="2">
        <v>91.399567196850427</v>
      </c>
      <c r="L15" s="2">
        <v>79.775686717654736</v>
      </c>
    </row>
    <row r="16" spans="1:53">
      <c r="B16" s="6">
        <f t="shared" si="0"/>
        <v>7</v>
      </c>
      <c r="C16" s="2">
        <v>95.066620890113171</v>
      </c>
      <c r="D16" s="2">
        <v>94.504960426697721</v>
      </c>
      <c r="E16" s="2">
        <v>98.081447809538787</v>
      </c>
      <c r="F16" s="2">
        <v>94.51310849613445</v>
      </c>
      <c r="G16" s="2">
        <v>97.421922356565759</v>
      </c>
      <c r="H16" s="2">
        <v>93.693986753900774</v>
      </c>
      <c r="I16" s="2">
        <v>99.180649255341777</v>
      </c>
      <c r="J16" s="2">
        <v>96.398377637527915</v>
      </c>
      <c r="K16" s="2">
        <v>90.731859689629005</v>
      </c>
      <c r="L16" s="2">
        <v>86.706995879959365</v>
      </c>
    </row>
    <row r="17" spans="2:12">
      <c r="B17" s="6">
        <f t="shared" si="0"/>
        <v>8</v>
      </c>
      <c r="C17" s="2">
        <v>113.50008154153507</v>
      </c>
      <c r="D17" s="2">
        <v>104.60686409054962</v>
      </c>
      <c r="E17" s="2">
        <v>105.57241186273285</v>
      </c>
      <c r="F17" s="2">
        <v>101.00805608094571</v>
      </c>
      <c r="G17" s="2">
        <v>102.27467886996573</v>
      </c>
      <c r="H17" s="2">
        <v>87.426500275157636</v>
      </c>
      <c r="I17" s="2">
        <v>96.664345513408506</v>
      </c>
      <c r="J17" s="2">
        <v>86.577116465834479</v>
      </c>
      <c r="K17" s="2">
        <v>93.056927593167956</v>
      </c>
      <c r="L17" s="2">
        <v>112.70219569991133</v>
      </c>
    </row>
    <row r="18" spans="2:12">
      <c r="B18" s="6">
        <f t="shared" si="0"/>
        <v>9</v>
      </c>
      <c r="C18" s="2">
        <v>104.54897077933794</v>
      </c>
      <c r="D18" s="2">
        <v>97.299498019165796</v>
      </c>
      <c r="E18" s="2">
        <v>94.073607877012535</v>
      </c>
      <c r="F18" s="2">
        <v>88.538353646223896</v>
      </c>
      <c r="G18" s="2">
        <v>98.112002774973632</v>
      </c>
      <c r="H18" s="2">
        <v>97.78540293755762</v>
      </c>
      <c r="I18" s="2">
        <v>99.585270521505606</v>
      </c>
      <c r="J18" s="2">
        <v>99.761006414388987</v>
      </c>
      <c r="K18" s="2">
        <v>99.398797042533175</v>
      </c>
      <c r="L18" s="2">
        <v>105.90816577293202</v>
      </c>
    </row>
    <row r="19" spans="2:12">
      <c r="B19" s="6">
        <f t="shared" si="0"/>
        <v>10</v>
      </c>
      <c r="C19" s="2">
        <v>104.63529779979</v>
      </c>
      <c r="D19" s="2">
        <v>97.90846208962644</v>
      </c>
      <c r="E19" s="2">
        <v>85.822700649789027</v>
      </c>
      <c r="F19" s="2">
        <v>82.485834510957773</v>
      </c>
      <c r="G19" s="2">
        <v>90.446967880151973</v>
      </c>
      <c r="H19" s="2">
        <v>104.6881455495206</v>
      </c>
      <c r="I19" s="2">
        <v>95.076201540840927</v>
      </c>
      <c r="J19" s="2">
        <v>99.694732507449388</v>
      </c>
      <c r="K19" s="2">
        <v>77.629647697442124</v>
      </c>
      <c r="L19" s="2">
        <v>62.031191060081852</v>
      </c>
    </row>
    <row r="20" spans="2:12">
      <c r="B20" s="6">
        <f t="shared" si="0"/>
        <v>11</v>
      </c>
      <c r="C20" s="2">
        <v>102.06389259502473</v>
      </c>
      <c r="D20" s="2">
        <v>87.01023418877061</v>
      </c>
      <c r="E20" s="2">
        <v>94.687377827913153</v>
      </c>
      <c r="F20" s="2">
        <v>79.202549492623945</v>
      </c>
      <c r="G20" s="2">
        <v>68.481945620786348</v>
      </c>
      <c r="H20" s="2">
        <v>78.995284618200046</v>
      </c>
      <c r="I20" s="2">
        <v>86.429828419013887</v>
      </c>
      <c r="J20" s="2">
        <v>78.821711771458695</v>
      </c>
      <c r="K20" s="2">
        <v>89.729404981133882</v>
      </c>
      <c r="L20" s="2">
        <v>87.552634986426852</v>
      </c>
    </row>
    <row r="21" spans="2:12">
      <c r="B21" s="6">
        <f t="shared" si="0"/>
        <v>12</v>
      </c>
      <c r="C21" s="2">
        <v>109.42786571840668</v>
      </c>
      <c r="D21" s="2">
        <v>94.937015716426401</v>
      </c>
      <c r="E21" s="2">
        <v>104.39567344431725</v>
      </c>
      <c r="F21" s="2">
        <v>119.29294194150847</v>
      </c>
      <c r="G21" s="2">
        <v>112.98822126559351</v>
      </c>
      <c r="H21" s="2">
        <v>122.93104007611959</v>
      </c>
      <c r="I21" s="2">
        <v>114.81605167647513</v>
      </c>
      <c r="J21" s="2">
        <v>102.10941193607555</v>
      </c>
      <c r="K21" s="2">
        <v>116.3387095638348</v>
      </c>
      <c r="L21" s="2">
        <v>101.36312663686829</v>
      </c>
    </row>
    <row r="22" spans="2:12">
      <c r="B22" s="6">
        <f t="shared" si="0"/>
        <v>13</v>
      </c>
      <c r="C22" s="2">
        <v>89.993722378530421</v>
      </c>
      <c r="D22" s="2">
        <v>77.391860402497201</v>
      </c>
      <c r="E22" s="2">
        <v>100.77077977059599</v>
      </c>
      <c r="F22" s="2">
        <v>97.025972638846625</v>
      </c>
      <c r="G22" s="2">
        <v>111.10680680600372</v>
      </c>
      <c r="H22" s="2">
        <v>107.66026395508047</v>
      </c>
      <c r="I22" s="2">
        <v>116.85830200683162</v>
      </c>
      <c r="J22" s="2">
        <v>114.72958406827985</v>
      </c>
      <c r="K22" s="2">
        <v>88.714605841632576</v>
      </c>
      <c r="L22" s="2">
        <v>76.495471210909812</v>
      </c>
    </row>
    <row r="23" spans="2:12">
      <c r="B23" s="6">
        <f t="shared" si="0"/>
        <v>14</v>
      </c>
      <c r="C23" s="2">
        <v>89.983434824415028</v>
      </c>
      <c r="D23" s="2">
        <v>91.258750672512917</v>
      </c>
      <c r="E23" s="2">
        <v>89.21596282178335</v>
      </c>
      <c r="F23" s="2">
        <v>81.250232795939183</v>
      </c>
      <c r="G23" s="2">
        <v>100.51928619871805</v>
      </c>
      <c r="H23" s="2">
        <v>94.901883319457056</v>
      </c>
      <c r="I23" s="2">
        <v>96.723275710428211</v>
      </c>
      <c r="J23" s="2">
        <v>94.411301323296755</v>
      </c>
      <c r="K23" s="2">
        <v>88.418536444402974</v>
      </c>
      <c r="L23" s="2">
        <v>89.670410121330036</v>
      </c>
    </row>
    <row r="24" spans="2:12">
      <c r="B24" s="6">
        <f t="shared" si="0"/>
        <v>15</v>
      </c>
      <c r="C24" s="2">
        <v>96.946076400394176</v>
      </c>
      <c r="D24" s="2">
        <v>103.04326619721112</v>
      </c>
      <c r="E24" s="2">
        <v>97.493133472672511</v>
      </c>
      <c r="F24" s="2">
        <v>98.515277811436448</v>
      </c>
      <c r="G24" s="2">
        <v>96.8327711227669</v>
      </c>
      <c r="H24" s="2">
        <v>92.778383074427282</v>
      </c>
      <c r="I24" s="2">
        <v>110.07243973476795</v>
      </c>
      <c r="J24" s="2">
        <v>95.161647772940626</v>
      </c>
      <c r="K24" s="2">
        <v>102.36846766737978</v>
      </c>
      <c r="L24" s="2">
        <v>105.51739600250951</v>
      </c>
    </row>
    <row r="25" spans="2:12">
      <c r="B25" s="6">
        <f t="shared" si="0"/>
        <v>16</v>
      </c>
      <c r="C25" s="2">
        <v>93.210096734370239</v>
      </c>
      <c r="D25" s="2">
        <v>93.842517881563737</v>
      </c>
      <c r="E25" s="2">
        <v>87.345304116831002</v>
      </c>
      <c r="F25" s="2">
        <v>104.25588124122731</v>
      </c>
      <c r="G25" s="2">
        <v>115.32335396489135</v>
      </c>
      <c r="H25" s="2">
        <v>114.2855993506122</v>
      </c>
      <c r="I25" s="2">
        <v>111.61739439533598</v>
      </c>
      <c r="J25" s="2">
        <v>111.45463058342011</v>
      </c>
      <c r="K25" s="2">
        <v>95.700703449458274</v>
      </c>
      <c r="L25" s="2">
        <v>105.72363771784781</v>
      </c>
    </row>
    <row r="26" spans="2:12">
      <c r="B26" s="6">
        <f t="shared" si="0"/>
        <v>17</v>
      </c>
      <c r="C26" s="2">
        <v>70.905131695107485</v>
      </c>
      <c r="D26" s="2">
        <v>65.903041729660373</v>
      </c>
      <c r="E26" s="2">
        <v>74.230630131929388</v>
      </c>
      <c r="F26" s="2">
        <v>60.107569159166886</v>
      </c>
      <c r="G26" s="2">
        <v>47.087938049846471</v>
      </c>
      <c r="H26" s="2">
        <v>79.805538820649829</v>
      </c>
      <c r="I26" s="2">
        <v>94.798521449964653</v>
      </c>
      <c r="J26" s="2">
        <v>88.35220526927786</v>
      </c>
      <c r="K26" s="2">
        <v>54.658323959355265</v>
      </c>
      <c r="L26" s="2">
        <v>58.235023008094288</v>
      </c>
    </row>
    <row r="27" spans="2:12">
      <c r="B27" s="6">
        <f t="shared" si="0"/>
        <v>18</v>
      </c>
      <c r="C27" s="2">
        <v>114.85392474975727</v>
      </c>
      <c r="D27" s="2">
        <v>98.082815939757396</v>
      </c>
      <c r="E27" s="2">
        <v>105.63362976616952</v>
      </c>
      <c r="F27" s="2">
        <v>90.237141222963814</v>
      </c>
      <c r="G27" s="2">
        <v>101.01102729875845</v>
      </c>
      <c r="H27" s="2">
        <v>98.95116926617375</v>
      </c>
      <c r="I27" s="2">
        <v>87.92111234571054</v>
      </c>
      <c r="J27" s="2">
        <v>88.913343164940628</v>
      </c>
      <c r="K27" s="2">
        <v>91.296840392494971</v>
      </c>
      <c r="L27" s="2">
        <v>92.22373783503788</v>
      </c>
    </row>
    <row r="28" spans="2:12">
      <c r="B28" s="6">
        <f t="shared" si="0"/>
        <v>19</v>
      </c>
      <c r="C28" s="2">
        <v>100.31452440944631</v>
      </c>
      <c r="D28" s="2">
        <v>92.518447185922753</v>
      </c>
      <c r="E28" s="2">
        <v>87.608794581299151</v>
      </c>
      <c r="F28" s="2">
        <v>103.27291601222099</v>
      </c>
      <c r="G28" s="2">
        <v>88.647235860994655</v>
      </c>
      <c r="H28" s="2">
        <v>108.40083158730096</v>
      </c>
      <c r="I28" s="2">
        <v>103.56497549293671</v>
      </c>
      <c r="J28" s="2">
        <v>82.48619548483785</v>
      </c>
      <c r="K28" s="2">
        <v>102.32596065999657</v>
      </c>
      <c r="L28" s="2">
        <v>97.573176254263714</v>
      </c>
    </row>
    <row r="29" spans="2:12">
      <c r="B29" s="6">
        <f t="shared" si="0"/>
        <v>20</v>
      </c>
      <c r="C29" s="2">
        <v>111.35543404544134</v>
      </c>
      <c r="D29" s="2">
        <v>104.37293983044302</v>
      </c>
      <c r="E29" s="2">
        <v>101.85201390976337</v>
      </c>
      <c r="F29" s="2">
        <v>108.08321852980242</v>
      </c>
      <c r="G29" s="2">
        <v>121.88396615581551</v>
      </c>
      <c r="H29" s="2">
        <v>99.953666932418884</v>
      </c>
      <c r="I29" s="2">
        <v>96.687780568250247</v>
      </c>
      <c r="J29" s="2">
        <v>89.368927304800337</v>
      </c>
      <c r="K29" s="2">
        <v>102.14806953077056</v>
      </c>
      <c r="L29" s="2">
        <v>114.45092483721183</v>
      </c>
    </row>
    <row r="30" spans="2:12">
      <c r="B30" s="6">
        <f t="shared" si="0"/>
        <v>21</v>
      </c>
      <c r="C30" s="2">
        <v>108.79769093664295</v>
      </c>
      <c r="D30" s="2">
        <v>97.875741965219078</v>
      </c>
      <c r="E30" s="2">
        <v>91.457155573937513</v>
      </c>
      <c r="F30" s="2">
        <v>99.551743312530405</v>
      </c>
      <c r="G30" s="2">
        <v>110.48620626358066</v>
      </c>
      <c r="H30" s="2">
        <v>104.37538729264125</v>
      </c>
      <c r="I30" s="2">
        <v>95.027934297676993</v>
      </c>
      <c r="J30" s="2">
        <v>85.508369309090327</v>
      </c>
      <c r="K30" s="2">
        <v>94.533504779445977</v>
      </c>
      <c r="L30" s="2">
        <v>91.801563737093801</v>
      </c>
    </row>
    <row r="31" spans="2:12">
      <c r="B31" s="6">
        <f t="shared" si="0"/>
        <v>22</v>
      </c>
      <c r="C31" s="2">
        <v>74.722746078556881</v>
      </c>
      <c r="D31" s="2">
        <v>105.61513427002572</v>
      </c>
      <c r="E31" s="2">
        <v>102.24573157620337</v>
      </c>
      <c r="F31" s="2">
        <v>90.169167627145256</v>
      </c>
      <c r="G31" s="2">
        <v>93.522016576728319</v>
      </c>
      <c r="H31" s="2">
        <v>86.003105876900491</v>
      </c>
      <c r="I31" s="2">
        <v>94.308034694945675</v>
      </c>
      <c r="J31" s="2">
        <v>106.23300394368819</v>
      </c>
      <c r="K31" s="2">
        <v>85.309825992243063</v>
      </c>
      <c r="L31" s="2">
        <v>87.672766117362002</v>
      </c>
    </row>
    <row r="32" spans="2:12">
      <c r="B32" s="6">
        <f t="shared" si="0"/>
        <v>23</v>
      </c>
      <c r="C32" s="2">
        <v>93.878479346320262</v>
      </c>
      <c r="D32" s="2">
        <v>90.580026722443833</v>
      </c>
      <c r="E32" s="2">
        <v>95.485946878674653</v>
      </c>
      <c r="F32" s="2">
        <v>86.063358915696497</v>
      </c>
      <c r="G32" s="2">
        <v>92.444487927919084</v>
      </c>
      <c r="H32" s="2">
        <v>107.83376704312585</v>
      </c>
      <c r="I32" s="2">
        <v>97.737575463039974</v>
      </c>
      <c r="J32" s="2">
        <v>105.22486628698348</v>
      </c>
      <c r="K32" s="2">
        <v>87.352797704440519</v>
      </c>
      <c r="L32" s="2">
        <v>89.168420504447781</v>
      </c>
    </row>
    <row r="33" spans="1:13">
      <c r="B33" s="6">
        <f t="shared" si="0"/>
        <v>24</v>
      </c>
      <c r="C33" s="2">
        <v>77.935936383051612</v>
      </c>
      <c r="D33" s="2">
        <v>94.986731018382315</v>
      </c>
      <c r="E33" s="2">
        <v>98.585611648101093</v>
      </c>
      <c r="F33" s="2">
        <v>100.32474945223804</v>
      </c>
      <c r="G33" s="2">
        <v>100.90572782840543</v>
      </c>
      <c r="H33" s="2">
        <v>96.458451683946137</v>
      </c>
      <c r="I33" s="2">
        <v>95.406460717615317</v>
      </c>
      <c r="J33" s="2">
        <v>95.111453284747896</v>
      </c>
      <c r="K33" s="2">
        <v>104.17515446019026</v>
      </c>
      <c r="L33" s="2">
        <v>115.84684691889527</v>
      </c>
    </row>
    <row r="34" spans="1:13">
      <c r="B34" s="6">
        <f t="shared" si="0"/>
        <v>25</v>
      </c>
      <c r="C34" s="2">
        <v>77.514894908765186</v>
      </c>
      <c r="D34" s="2">
        <v>100.67225281321043</v>
      </c>
      <c r="E34" s="2">
        <v>102.30054247608349</v>
      </c>
      <c r="F34" s="2">
        <v>99.828368218745837</v>
      </c>
      <c r="G34" s="2">
        <v>106.56998767958504</v>
      </c>
      <c r="H34" s="2">
        <v>109.10103390164093</v>
      </c>
      <c r="I34" s="2">
        <v>116.68012121463855</v>
      </c>
      <c r="J34" s="2">
        <v>105.654751436974</v>
      </c>
      <c r="K34" s="2">
        <v>106.49805673552628</v>
      </c>
      <c r="L34" s="2">
        <v>107.61577822199143</v>
      </c>
    </row>
    <row r="35" spans="1:13">
      <c r="B35" s="6">
        <f t="shared" si="0"/>
        <v>26</v>
      </c>
      <c r="C35" s="2">
        <v>99.122652173936402</v>
      </c>
      <c r="D35" s="2">
        <v>110.27314224800213</v>
      </c>
      <c r="E35" s="2">
        <v>120.53068653673918</v>
      </c>
      <c r="F35" s="2">
        <v>115.78412517599577</v>
      </c>
      <c r="G35" s="2">
        <v>118.91362825245602</v>
      </c>
      <c r="H35" s="2">
        <v>109.74694903339955</v>
      </c>
      <c r="I35" s="2">
        <v>108.69002036826058</v>
      </c>
      <c r="J35" s="2">
        <v>119.01876070107511</v>
      </c>
      <c r="K35" s="2">
        <v>112.25259956193032</v>
      </c>
      <c r="L35" s="2">
        <v>120.0018755287918</v>
      </c>
    </row>
    <row r="36" spans="1:13">
      <c r="B36" s="6">
        <f t="shared" si="0"/>
        <v>27</v>
      </c>
      <c r="C36" s="2">
        <v>92.468823443135449</v>
      </c>
      <c r="D36" s="2">
        <v>94.970593235445222</v>
      </c>
      <c r="E36" s="2">
        <v>94.382782484649297</v>
      </c>
      <c r="F36" s="2">
        <v>101.18988833908865</v>
      </c>
      <c r="G36" s="2">
        <v>95.077724212580648</v>
      </c>
      <c r="H36" s="2">
        <v>105.82257730977658</v>
      </c>
      <c r="I36" s="2">
        <v>102.77171838478941</v>
      </c>
      <c r="J36" s="2">
        <v>116.44187356065046</v>
      </c>
      <c r="K36" s="2">
        <v>98.447666416054517</v>
      </c>
      <c r="L36" s="2">
        <v>91.184859419736398</v>
      </c>
    </row>
    <row r="37" spans="1:13">
      <c r="B37" s="6">
        <f t="shared" si="0"/>
        <v>28</v>
      </c>
      <c r="C37" s="2">
        <v>92.766622995162521</v>
      </c>
      <c r="D37" s="2">
        <v>107.07511396704659</v>
      </c>
      <c r="E37" s="2">
        <v>94.019272202253703</v>
      </c>
      <c r="F37" s="2">
        <v>111.29371640130447</v>
      </c>
      <c r="G37" s="2">
        <v>146.44976846642015</v>
      </c>
      <c r="H37" s="2">
        <v>111.86155674039718</v>
      </c>
      <c r="I37" s="2">
        <v>112.5452854600528</v>
      </c>
      <c r="J37" s="2">
        <v>119.94761756574147</v>
      </c>
      <c r="K37" s="2">
        <v>121.32516840511482</v>
      </c>
      <c r="L37" s="2">
        <v>113.34682944211431</v>
      </c>
    </row>
    <row r="38" spans="1:13">
      <c r="B38" s="6">
        <f t="shared" si="0"/>
        <v>29</v>
      </c>
      <c r="C38" s="2">
        <v>76.859087981954644</v>
      </c>
      <c r="D38" s="2">
        <v>83.318781488428698</v>
      </c>
      <c r="E38" s="2">
        <v>67.786766266167973</v>
      </c>
      <c r="F38" s="2">
        <v>54.603804163038781</v>
      </c>
      <c r="G38" s="2">
        <v>66.490976001379408</v>
      </c>
      <c r="H38" s="2">
        <v>80.830041037366939</v>
      </c>
      <c r="I38" s="2">
        <v>76.363828047394449</v>
      </c>
      <c r="J38" s="2">
        <v>81.024497641947136</v>
      </c>
      <c r="K38" s="2">
        <v>48.977673268595893</v>
      </c>
      <c r="L38" s="2">
        <v>50.055840781141654</v>
      </c>
    </row>
    <row r="39" spans="1:13">
      <c r="B39" s="6">
        <f t="shared" si="0"/>
        <v>30</v>
      </c>
      <c r="C39" s="2">
        <v>87.305280851503881</v>
      </c>
      <c r="D39" s="2">
        <v>85.48484576790284</v>
      </c>
      <c r="E39" s="2">
        <v>82.823493436440756</v>
      </c>
      <c r="F39" s="2">
        <v>90.371495162196538</v>
      </c>
      <c r="G39" s="2">
        <v>89.675163079806481</v>
      </c>
      <c r="H39" s="2">
        <v>98.094698067991843</v>
      </c>
      <c r="I39" s="2">
        <v>108.58811804492467</v>
      </c>
      <c r="J39" s="2">
        <v>123.26961615487099</v>
      </c>
      <c r="K39" s="2">
        <v>88.389796032851763</v>
      </c>
      <c r="L39" s="2">
        <v>92.862617776772908</v>
      </c>
    </row>
    <row r="41" spans="1:13">
      <c r="A41" s="9" t="s">
        <v>438</v>
      </c>
    </row>
    <row r="45" spans="1:13" ht="15.75">
      <c r="A45" s="15" t="s">
        <v>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8" spans="1:13">
      <c r="A48" s="143" t="s">
        <v>472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1:13">
      <c r="C51" s="6" t="s">
        <v>386</v>
      </c>
      <c r="D51" s="6" t="s">
        <v>387</v>
      </c>
      <c r="E51" s="6" t="s">
        <v>388</v>
      </c>
      <c r="F51" s="6" t="s">
        <v>389</v>
      </c>
      <c r="G51" s="6" t="s">
        <v>390</v>
      </c>
      <c r="H51" s="6" t="s">
        <v>391</v>
      </c>
      <c r="I51" s="6" t="s">
        <v>392</v>
      </c>
      <c r="J51" s="6" t="s">
        <v>393</v>
      </c>
      <c r="K51" s="6" t="s">
        <v>394</v>
      </c>
      <c r="L51" s="6" t="s">
        <v>395</v>
      </c>
    </row>
    <row r="52" spans="1:13">
      <c r="B52" s="6" t="s">
        <v>328</v>
      </c>
      <c r="C52" s="139">
        <f t="shared" ref="C52:L52" si="1">AVERAGE(C10:C39)</f>
        <v>94.603801888100222</v>
      </c>
      <c r="D52" s="139">
        <f t="shared" si="1"/>
        <v>93.876134612516907</v>
      </c>
      <c r="E52" s="139">
        <f t="shared" si="1"/>
        <v>93.67390249038236</v>
      </c>
      <c r="F52" s="139">
        <f t="shared" si="1"/>
        <v>92.416756070067819</v>
      </c>
      <c r="G52" s="139">
        <f t="shared" si="1"/>
        <v>96.966844663936556</v>
      </c>
      <c r="H52" s="139">
        <f t="shared" si="1"/>
        <v>99.245886772346111</v>
      </c>
      <c r="I52" s="139">
        <f t="shared" si="1"/>
        <v>99.662357234083871</v>
      </c>
      <c r="J52" s="139">
        <f t="shared" si="1"/>
        <v>97.5083406164796</v>
      </c>
      <c r="K52" s="139">
        <f t="shared" si="1"/>
        <v>92.513126661653629</v>
      </c>
      <c r="L52" s="139">
        <f t="shared" si="1"/>
        <v>91.371373443993022</v>
      </c>
    </row>
    <row r="53" spans="1:13">
      <c r="B53" s="6" t="s">
        <v>396</v>
      </c>
      <c r="C53" s="139">
        <f t="shared" ref="C53:L53" si="2">_xlfn.STDEV.P(C10:C39)</f>
        <v>12.466859887368411</v>
      </c>
      <c r="D53" s="139">
        <f t="shared" si="2"/>
        <v>10.214219995996933</v>
      </c>
      <c r="E53" s="139">
        <f t="shared" si="2"/>
        <v>12.146509463951064</v>
      </c>
      <c r="F53" s="139">
        <f t="shared" si="2"/>
        <v>14.488602982006524</v>
      </c>
      <c r="G53" s="139">
        <f t="shared" si="2"/>
        <v>19.130435501521028</v>
      </c>
      <c r="H53" s="139">
        <f t="shared" si="2"/>
        <v>10.386867999075184</v>
      </c>
      <c r="I53" s="139">
        <f t="shared" si="2"/>
        <v>9.9485291105844951</v>
      </c>
      <c r="J53" s="139">
        <f t="shared" si="2"/>
        <v>13.194398652488283</v>
      </c>
      <c r="K53" s="139">
        <f t="shared" si="2"/>
        <v>15.317766523419973</v>
      </c>
      <c r="L53" s="139">
        <f t="shared" si="2"/>
        <v>17.966215451993243</v>
      </c>
    </row>
    <row r="54" spans="1:13">
      <c r="B54" s="6" t="s">
        <v>397</v>
      </c>
      <c r="C54" s="22">
        <f t="shared" ref="C54:L54" si="3">COUNTA(C10:C39)</f>
        <v>30</v>
      </c>
      <c r="D54" s="22">
        <f t="shared" si="3"/>
        <v>30</v>
      </c>
      <c r="E54" s="22">
        <f t="shared" si="3"/>
        <v>30</v>
      </c>
      <c r="F54" s="22">
        <f t="shared" si="3"/>
        <v>30</v>
      </c>
      <c r="G54" s="22">
        <f t="shared" si="3"/>
        <v>30</v>
      </c>
      <c r="H54" s="22">
        <f t="shared" si="3"/>
        <v>30</v>
      </c>
      <c r="I54" s="22">
        <f t="shared" si="3"/>
        <v>30</v>
      </c>
      <c r="J54" s="22">
        <f t="shared" si="3"/>
        <v>30</v>
      </c>
      <c r="K54" s="22">
        <f t="shared" si="3"/>
        <v>30</v>
      </c>
      <c r="L54" s="22">
        <f t="shared" si="3"/>
        <v>30</v>
      </c>
    </row>
    <row r="58" spans="1:13">
      <c r="A58" s="24" t="s">
        <v>473</v>
      </c>
      <c r="B58" s="24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>
      <c r="B59" s="9"/>
    </row>
    <row r="60" spans="1:13">
      <c r="B60" s="9"/>
    </row>
    <row r="61" spans="1:13">
      <c r="B61" s="6" t="s">
        <v>6</v>
      </c>
      <c r="C61" s="109" t="s">
        <v>474</v>
      </c>
      <c r="D61" s="2"/>
      <c r="E61" s="2"/>
      <c r="F61" s="2"/>
      <c r="G61" s="2"/>
      <c r="H61" s="2"/>
      <c r="I61" s="2"/>
      <c r="J61" s="2"/>
      <c r="K61" s="2"/>
      <c r="L61" s="2"/>
    </row>
    <row r="62" spans="1:13">
      <c r="C62" s="109"/>
      <c r="D62" s="2"/>
      <c r="E62" s="2"/>
      <c r="F62" s="2"/>
      <c r="G62" s="2"/>
      <c r="H62" s="2"/>
      <c r="I62" s="2"/>
      <c r="J62" s="2"/>
      <c r="K62" s="2"/>
      <c r="L62" s="2"/>
    </row>
    <row r="63" spans="1:13">
      <c r="C63" s="109"/>
      <c r="D63" s="2"/>
      <c r="E63" s="2"/>
      <c r="F63" s="2"/>
      <c r="G63" s="2"/>
      <c r="H63" s="2"/>
      <c r="I63" s="2"/>
      <c r="J63" s="2"/>
      <c r="K63" s="2"/>
      <c r="L63" s="2"/>
    </row>
    <row r="65" spans="1:13">
      <c r="B65" s="6" t="s">
        <v>435</v>
      </c>
      <c r="C65" s="6" t="s">
        <v>386</v>
      </c>
      <c r="D65" s="6" t="s">
        <v>387</v>
      </c>
      <c r="E65" s="6" t="s">
        <v>388</v>
      </c>
      <c r="F65" s="6" t="s">
        <v>389</v>
      </c>
      <c r="G65" s="6" t="s">
        <v>390</v>
      </c>
      <c r="H65" s="6" t="s">
        <v>391</v>
      </c>
      <c r="I65" s="6" t="s">
        <v>392</v>
      </c>
      <c r="J65" s="6" t="s">
        <v>393</v>
      </c>
      <c r="K65" s="6" t="s">
        <v>394</v>
      </c>
      <c r="L65" s="6" t="s">
        <v>395</v>
      </c>
    </row>
    <row r="66" spans="1:13">
      <c r="B66" s="6" t="s">
        <v>386</v>
      </c>
      <c r="C66" s="22">
        <f t="array" ref="C66:L75">MMULT(TRANSPOSE(C10:L39),C10:L39)</f>
        <v>273159.05781402573</v>
      </c>
      <c r="D66" s="22">
        <v>268210.27565702237</v>
      </c>
      <c r="E66" s="22">
        <v>268153.32272283681</v>
      </c>
      <c r="F66" s="22">
        <v>264622.17963274295</v>
      </c>
      <c r="G66" s="22">
        <v>278222.26826591755</v>
      </c>
      <c r="H66" s="22">
        <v>282998.67285992845</v>
      </c>
      <c r="I66" s="22">
        <v>282621.24660646752</v>
      </c>
      <c r="J66" s="22">
        <v>275364.10001880949</v>
      </c>
      <c r="K66" s="22">
        <v>264903.46647568815</v>
      </c>
      <c r="L66" s="22">
        <v>261643.68398939742</v>
      </c>
    </row>
    <row r="67" spans="1:13">
      <c r="B67" s="6" t="s">
        <v>387</v>
      </c>
      <c r="C67" s="22">
        <v>268210.27565702237</v>
      </c>
      <c r="D67" s="22">
        <v>267511.76819742058</v>
      </c>
      <c r="E67" s="22">
        <v>266344.67520027771</v>
      </c>
      <c r="F67" s="22">
        <v>263270.65720290114</v>
      </c>
      <c r="G67" s="22">
        <v>277345.12114597531</v>
      </c>
      <c r="H67" s="22">
        <v>280622.94177445752</v>
      </c>
      <c r="I67" s="22">
        <v>281016.5896507781</v>
      </c>
      <c r="J67" s="22">
        <v>275290.19489369838</v>
      </c>
      <c r="K67" s="22">
        <v>263879.97244010068</v>
      </c>
      <c r="L67" s="22">
        <v>261148.73193023508</v>
      </c>
    </row>
    <row r="68" spans="1:13">
      <c r="B68" s="6" t="s">
        <v>388</v>
      </c>
      <c r="C68" s="22">
        <v>268153.32272283681</v>
      </c>
      <c r="D68" s="22">
        <v>266344.67520027771</v>
      </c>
      <c r="E68" s="22">
        <v>267670.13099806552</v>
      </c>
      <c r="F68" s="22">
        <v>263176.10437498946</v>
      </c>
      <c r="G68" s="22">
        <v>276648.15686970606</v>
      </c>
      <c r="H68" s="22">
        <v>280260.28283645707</v>
      </c>
      <c r="I68" s="22">
        <v>281002.17092647165</v>
      </c>
      <c r="J68" s="22">
        <v>274460.14586053387</v>
      </c>
      <c r="K68" s="22">
        <v>263619.41603836301</v>
      </c>
      <c r="L68" s="22">
        <v>261263.17994636766</v>
      </c>
    </row>
    <row r="69" spans="1:13">
      <c r="B69" s="6" t="s">
        <v>389</v>
      </c>
      <c r="C69" s="22">
        <v>264622.17963274295</v>
      </c>
      <c r="D69" s="22">
        <v>263270.65720290114</v>
      </c>
      <c r="E69" s="22">
        <v>263176.10437498946</v>
      </c>
      <c r="F69" s="22">
        <v>262523.29256653879</v>
      </c>
      <c r="G69" s="22">
        <v>275425.06222490582</v>
      </c>
      <c r="H69" s="22">
        <v>278401.8947565644</v>
      </c>
      <c r="I69" s="22">
        <v>279051.37659275165</v>
      </c>
      <c r="J69" s="22">
        <v>272943.38014716859</v>
      </c>
      <c r="K69" s="22">
        <v>262618.58517910464</v>
      </c>
      <c r="L69" s="22">
        <v>259861.68146253767</v>
      </c>
    </row>
    <row r="70" spans="1:13">
      <c r="B70" s="6" t="s">
        <v>390</v>
      </c>
      <c r="C70" s="22">
        <v>278222.26826591755</v>
      </c>
      <c r="D70" s="22">
        <v>277345.12114597531</v>
      </c>
      <c r="E70" s="22">
        <v>276648.15686970606</v>
      </c>
      <c r="F70" s="22">
        <v>275425.06222490582</v>
      </c>
      <c r="G70" s="22">
        <v>293056.27579673572</v>
      </c>
      <c r="H70" s="22">
        <v>292688.05493111815</v>
      </c>
      <c r="I70" s="22">
        <v>292604.85937323718</v>
      </c>
      <c r="J70" s="22">
        <v>286777.39355025545</v>
      </c>
      <c r="K70" s="22">
        <v>276120.02733862994</v>
      </c>
      <c r="L70" s="22">
        <v>272681.64454711339</v>
      </c>
    </row>
    <row r="71" spans="1:13">
      <c r="B71" s="6" t="s">
        <v>391</v>
      </c>
      <c r="C71" s="22">
        <v>282998.67285992845</v>
      </c>
      <c r="D71" s="22">
        <v>280622.94177445752</v>
      </c>
      <c r="E71" s="22">
        <v>280260.28283645707</v>
      </c>
      <c r="F71" s="22">
        <v>278401.8947565644</v>
      </c>
      <c r="G71" s="22">
        <v>292688.05493111815</v>
      </c>
      <c r="H71" s="22">
        <v>298728.99204178678</v>
      </c>
      <c r="I71" s="22">
        <v>298507.94536671176</v>
      </c>
      <c r="J71" s="22">
        <v>292211.75088408537</v>
      </c>
      <c r="K71" s="22">
        <v>278541.05587779614</v>
      </c>
      <c r="L71" s="22">
        <v>274402.23864863126</v>
      </c>
    </row>
    <row r="72" spans="1:13">
      <c r="B72" s="6" t="s">
        <v>392</v>
      </c>
      <c r="C72" s="22">
        <v>282621.24660646752</v>
      </c>
      <c r="D72" s="22">
        <v>281016.5896507781</v>
      </c>
      <c r="E72" s="22">
        <v>281002.17092647165</v>
      </c>
      <c r="F72" s="22">
        <v>279051.37659275165</v>
      </c>
      <c r="G72" s="22">
        <v>292604.85937323718</v>
      </c>
      <c r="H72" s="22">
        <v>298507.94536671176</v>
      </c>
      <c r="I72" s="22">
        <v>300946.76042754907</v>
      </c>
      <c r="J72" s="22">
        <v>294194.71564289578</v>
      </c>
      <c r="K72" s="22">
        <v>279242.8155729479</v>
      </c>
      <c r="L72" s="22">
        <v>275790.83483533998</v>
      </c>
    </row>
    <row r="73" spans="1:13">
      <c r="B73" s="6" t="s">
        <v>393</v>
      </c>
      <c r="C73" s="22">
        <v>275364.10001880949</v>
      </c>
      <c r="D73" s="22">
        <v>275290.19489369838</v>
      </c>
      <c r="E73" s="22">
        <v>274460.14586053387</v>
      </c>
      <c r="F73" s="22">
        <v>272943.38014716859</v>
      </c>
      <c r="G73" s="22">
        <v>286777.39355025545</v>
      </c>
      <c r="H73" s="22">
        <v>292211.75088408537</v>
      </c>
      <c r="I73" s="22">
        <v>294194.71564289578</v>
      </c>
      <c r="J73" s="22">
        <v>290459.05936740566</v>
      </c>
      <c r="K73" s="22">
        <v>272932.87242208398</v>
      </c>
      <c r="L73" s="22">
        <v>269448.2897609538</v>
      </c>
    </row>
    <row r="74" spans="1:13">
      <c r="B74" s="6" t="s">
        <v>394</v>
      </c>
      <c r="C74" s="22">
        <v>264903.46647568815</v>
      </c>
      <c r="D74" s="22">
        <v>263879.97244010068</v>
      </c>
      <c r="E74" s="22">
        <v>263619.41603836301</v>
      </c>
      <c r="F74" s="22">
        <v>262618.58517910464</v>
      </c>
      <c r="G74" s="22">
        <v>276120.02733862994</v>
      </c>
      <c r="H74" s="22">
        <v>278541.05587779614</v>
      </c>
      <c r="I74" s="22">
        <v>279242.8155729479</v>
      </c>
      <c r="J74" s="22">
        <v>272932.87242208398</v>
      </c>
      <c r="K74" s="22">
        <v>263799.37727943523</v>
      </c>
      <c r="L74" s="22">
        <v>260653.34100804664</v>
      </c>
    </row>
    <row r="75" spans="1:13">
      <c r="B75" s="6" t="s">
        <v>395</v>
      </c>
      <c r="C75" s="22">
        <v>261643.68398939742</v>
      </c>
      <c r="D75" s="22">
        <v>261148.73193023508</v>
      </c>
      <c r="E75" s="22">
        <v>261263.17994636766</v>
      </c>
      <c r="F75" s="22">
        <v>259861.68146253767</v>
      </c>
      <c r="G75" s="22">
        <v>272681.64454711339</v>
      </c>
      <c r="H75" s="22">
        <v>274402.23864863126</v>
      </c>
      <c r="I75" s="22">
        <v>275790.83483533998</v>
      </c>
      <c r="J75" s="22">
        <v>269448.2897609538</v>
      </c>
      <c r="K75" s="22">
        <v>260653.34100804664</v>
      </c>
      <c r="L75" s="22">
        <v>260145.38348127223</v>
      </c>
    </row>
    <row r="79" spans="1:13">
      <c r="A79" s="17" t="s">
        <v>475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2" spans="2:12">
      <c r="B82" s="6" t="s">
        <v>6</v>
      </c>
      <c r="C82" s="109" t="s">
        <v>476</v>
      </c>
      <c r="D82" s="2"/>
      <c r="E82" s="2"/>
      <c r="F82" s="2"/>
      <c r="G82" s="2"/>
      <c r="H82" s="2"/>
      <c r="I82" s="2"/>
      <c r="J82" s="2"/>
      <c r="K82" s="2"/>
      <c r="L82" s="2"/>
    </row>
    <row r="83" spans="2:12">
      <c r="C83" s="109" t="s">
        <v>477</v>
      </c>
      <c r="D83" s="2"/>
      <c r="E83" s="2"/>
      <c r="F83" s="2"/>
      <c r="G83" s="2"/>
      <c r="H83" s="2"/>
      <c r="I83" s="2"/>
      <c r="J83" s="2"/>
      <c r="K83" s="2"/>
      <c r="L83" s="2"/>
    </row>
    <row r="84" spans="2:12">
      <c r="B84" s="99"/>
      <c r="C84" s="2"/>
      <c r="D84" s="2"/>
      <c r="E84" s="2"/>
      <c r="F84" s="2"/>
      <c r="G84" s="2"/>
      <c r="H84" s="2"/>
      <c r="I84" s="2"/>
      <c r="J84" s="2"/>
      <c r="K84" s="2"/>
      <c r="L84" s="2"/>
    </row>
    <row r="86" spans="2:12">
      <c r="B86" s="6" t="s">
        <v>436</v>
      </c>
      <c r="C86" s="6" t="s">
        <v>386</v>
      </c>
      <c r="D86" s="6" t="s">
        <v>387</v>
      </c>
      <c r="E86" s="6" t="s">
        <v>388</v>
      </c>
      <c r="F86" s="6" t="s">
        <v>389</v>
      </c>
      <c r="G86" s="6" t="s">
        <v>390</v>
      </c>
      <c r="H86" s="6" t="s">
        <v>391</v>
      </c>
      <c r="I86" s="6" t="s">
        <v>392</v>
      </c>
      <c r="J86" s="6" t="s">
        <v>393</v>
      </c>
      <c r="K86" s="6" t="s">
        <v>394</v>
      </c>
      <c r="L86" s="6" t="s">
        <v>395</v>
      </c>
    </row>
    <row r="87" spans="2:12">
      <c r="B87" s="6" t="s">
        <v>386</v>
      </c>
      <c r="C87" s="22">
        <f t="array" ref="C87:L96">MMULT(TRANSPOSE(C52:L52),C52:L52)</f>
        <v>8949.8793316829142</v>
      </c>
      <c r="D87" s="22">
        <v>8881.0392409031774</v>
      </c>
      <c r="E87" s="22">
        <v>8861.90731328535</v>
      </c>
      <c r="F87" s="22">
        <v>8742.9764823935802</v>
      </c>
      <c r="G87" s="22">
        <v>9173.432162301242</v>
      </c>
      <c r="H87" s="22">
        <v>9389.0382104198579</v>
      </c>
      <c r="I87" s="22">
        <v>9428.437899474342</v>
      </c>
      <c r="J87" s="22">
        <v>9224.659738118833</v>
      </c>
      <c r="K87" s="22">
        <v>8752.0935067478022</v>
      </c>
      <c r="L87" s="22">
        <v>8644.0793115391371</v>
      </c>
    </row>
    <row r="88" spans="2:12">
      <c r="B88" s="6" t="s">
        <v>387</v>
      </c>
      <c r="C88" s="22">
        <v>8881.0392409031774</v>
      </c>
      <c r="D88" s="22">
        <v>8812.7286497873956</v>
      </c>
      <c r="E88" s="22">
        <v>8793.7438798669173</v>
      </c>
      <c r="F88" s="22">
        <v>8675.7278332858259</v>
      </c>
      <c r="G88" s="22">
        <v>9102.8725626227242</v>
      </c>
      <c r="H88" s="22">
        <v>9316.8202263793737</v>
      </c>
      <c r="I88" s="22">
        <v>9355.9168635076057</v>
      </c>
      <c r="J88" s="22">
        <v>9153.7061095557892</v>
      </c>
      <c r="K88" s="22">
        <v>8684.7747319142236</v>
      </c>
      <c r="L88" s="22">
        <v>8577.5913531588412</v>
      </c>
    </row>
    <row r="89" spans="2:12">
      <c r="B89" s="6" t="s">
        <v>388</v>
      </c>
      <c r="C89" s="22">
        <v>8861.90731328535</v>
      </c>
      <c r="D89" s="22">
        <v>8793.7438798669173</v>
      </c>
      <c r="E89" s="22">
        <v>8774.8000077776633</v>
      </c>
      <c r="F89" s="22">
        <v>8657.0381965849847</v>
      </c>
      <c r="G89" s="22">
        <v>9083.2627518496465</v>
      </c>
      <c r="H89" s="22">
        <v>9296.7495200842786</v>
      </c>
      <c r="I89" s="22">
        <v>9335.761933507225</v>
      </c>
      <c r="J89" s="22">
        <v>9133.9867909070999</v>
      </c>
      <c r="K89" s="22">
        <v>8666.0656059841349</v>
      </c>
      <c r="L89" s="22">
        <v>8559.1131264049145</v>
      </c>
    </row>
    <row r="90" spans="2:12">
      <c r="B90" s="6" t="s">
        <v>389</v>
      </c>
      <c r="C90" s="22">
        <v>8742.9764823935802</v>
      </c>
      <c r="D90" s="22">
        <v>8675.7278332858259</v>
      </c>
      <c r="E90" s="22">
        <v>8657.0381965849847</v>
      </c>
      <c r="F90" s="22">
        <v>8540.8568025144177</v>
      </c>
      <c r="G90" s="22">
        <v>8961.3612301911817</v>
      </c>
      <c r="H90" s="22">
        <v>9171.9829087974813</v>
      </c>
      <c r="I90" s="22">
        <v>9210.4717578702875</v>
      </c>
      <c r="J90" s="22">
        <v>9011.4045295502819</v>
      </c>
      <c r="K90" s="22">
        <v>8549.7630599693312</v>
      </c>
      <c r="L90" s="22">
        <v>8444.2459313605759</v>
      </c>
    </row>
    <row r="91" spans="2:12">
      <c r="B91" s="6" t="s">
        <v>390</v>
      </c>
      <c r="C91" s="22">
        <v>9173.432162301242</v>
      </c>
      <c r="D91" s="22">
        <v>9102.8725626227242</v>
      </c>
      <c r="E91" s="22">
        <v>9083.2627518496465</v>
      </c>
      <c r="F91" s="22">
        <v>8961.3612301911817</v>
      </c>
      <c r="G91" s="22">
        <v>9402.568964080001</v>
      </c>
      <c r="H91" s="22">
        <v>9623.5604861887205</v>
      </c>
      <c r="I91" s="22">
        <v>9663.9443127591639</v>
      </c>
      <c r="J91" s="22">
        <v>9455.0761179963938</v>
      </c>
      <c r="K91" s="22">
        <v>8970.7059823756554</v>
      </c>
      <c r="L91" s="22">
        <v>8859.9937754742095</v>
      </c>
    </row>
    <row r="92" spans="2:12">
      <c r="B92" s="6" t="s">
        <v>391</v>
      </c>
      <c r="C92" s="22">
        <v>9389.0382104198579</v>
      </c>
      <c r="D92" s="22">
        <v>9316.8202263793737</v>
      </c>
      <c r="E92" s="22">
        <v>9296.7495200842786</v>
      </c>
      <c r="F92" s="22">
        <v>9171.9829087974813</v>
      </c>
      <c r="G92" s="22">
        <v>9623.5604861887205</v>
      </c>
      <c r="H92" s="22">
        <v>9849.746041229344</v>
      </c>
      <c r="I92" s="22">
        <v>9891.0790215189973</v>
      </c>
      <c r="J92" s="22">
        <v>9677.3017321824918</v>
      </c>
      <c r="K92" s="22">
        <v>9181.5472936181905</v>
      </c>
      <c r="L92" s="22">
        <v>9068.232983056283</v>
      </c>
    </row>
    <row r="93" spans="2:12">
      <c r="B93" s="6" t="s">
        <v>392</v>
      </c>
      <c r="C93" s="22">
        <v>9428.437899474342</v>
      </c>
      <c r="D93" s="22">
        <v>9355.9168635076057</v>
      </c>
      <c r="E93" s="22">
        <v>9335.761933507225</v>
      </c>
      <c r="F93" s="22">
        <v>9210.4717578702875</v>
      </c>
      <c r="G93" s="22">
        <v>9663.9443127591639</v>
      </c>
      <c r="H93" s="22">
        <v>9891.0790215189973</v>
      </c>
      <c r="I93" s="22">
        <v>9932.5854494541491</v>
      </c>
      <c r="J93" s="22">
        <v>9717.9110758223196</v>
      </c>
      <c r="K93" s="22">
        <v>9220.0762781957728</v>
      </c>
      <c r="L93" s="22">
        <v>9106.2864611441164</v>
      </c>
    </row>
    <row r="94" spans="2:12">
      <c r="B94" s="6" t="s">
        <v>393</v>
      </c>
      <c r="C94" s="22">
        <v>9224.659738118833</v>
      </c>
      <c r="D94" s="22">
        <v>9153.7061095557892</v>
      </c>
      <c r="E94" s="22">
        <v>9133.9867909070999</v>
      </c>
      <c r="F94" s="22">
        <v>9011.4045295502819</v>
      </c>
      <c r="G94" s="22">
        <v>9455.0761179963938</v>
      </c>
      <c r="H94" s="22">
        <v>9677.3017321824918</v>
      </c>
      <c r="I94" s="22">
        <v>9717.9110758223196</v>
      </c>
      <c r="J94" s="22">
        <v>9507.8764897794044</v>
      </c>
      <c r="K94" s="22">
        <v>9020.8014660200424</v>
      </c>
      <c r="L94" s="22">
        <v>8909.4710043724299</v>
      </c>
    </row>
    <row r="95" spans="2:12">
      <c r="B95" s="6" t="s">
        <v>394</v>
      </c>
      <c r="C95" s="22">
        <v>8752.0935067478022</v>
      </c>
      <c r="D95" s="22">
        <v>8684.7747319142236</v>
      </c>
      <c r="E95" s="22">
        <v>8666.0656059841349</v>
      </c>
      <c r="F95" s="22">
        <v>8549.7630599693312</v>
      </c>
      <c r="G95" s="22">
        <v>8970.7059823756554</v>
      </c>
      <c r="H95" s="22">
        <v>9181.5472936181905</v>
      </c>
      <c r="I95" s="22">
        <v>9220.0762781957728</v>
      </c>
      <c r="J95" s="22">
        <v>9020.8014660200424</v>
      </c>
      <c r="K95" s="22">
        <v>8558.6786047151672</v>
      </c>
      <c r="L95" s="22">
        <v>8453.0514446733814</v>
      </c>
    </row>
    <row r="96" spans="2:12">
      <c r="B96" s="6" t="s">
        <v>395</v>
      </c>
      <c r="C96" s="22">
        <v>8644.0793115391371</v>
      </c>
      <c r="D96" s="22">
        <v>8577.5913531588412</v>
      </c>
      <c r="E96" s="22">
        <v>8559.1131264049145</v>
      </c>
      <c r="F96" s="22">
        <v>8444.2459313605759</v>
      </c>
      <c r="G96" s="22">
        <v>8859.9937754742095</v>
      </c>
      <c r="H96" s="22">
        <v>9068.232983056283</v>
      </c>
      <c r="I96" s="22">
        <v>9106.2864611441164</v>
      </c>
      <c r="J96" s="22">
        <v>8909.4710043724299</v>
      </c>
      <c r="K96" s="22">
        <v>8453.0514446733814</v>
      </c>
      <c r="L96" s="22">
        <v>8348.7278850416333</v>
      </c>
    </row>
    <row r="98" spans="1:13">
      <c r="B98" s="6" t="s">
        <v>437</v>
      </c>
      <c r="C98" s="6" t="s">
        <v>386</v>
      </c>
      <c r="D98" s="6" t="s">
        <v>387</v>
      </c>
      <c r="E98" s="6" t="s">
        <v>388</v>
      </c>
      <c r="F98" s="6" t="s">
        <v>389</v>
      </c>
      <c r="G98" s="6" t="s">
        <v>390</v>
      </c>
      <c r="H98" s="6" t="s">
        <v>391</v>
      </c>
      <c r="I98" s="6" t="s">
        <v>392</v>
      </c>
      <c r="J98" s="6" t="s">
        <v>393</v>
      </c>
      <c r="K98" s="6" t="s">
        <v>394</v>
      </c>
      <c r="L98" s="6" t="s">
        <v>395</v>
      </c>
    </row>
    <row r="99" spans="1:13">
      <c r="B99" s="6" t="s">
        <v>386</v>
      </c>
      <c r="C99" s="22">
        <f t="array" ref="C99:L108">MMULT(TRANSPOSE(C53:L53),C53:L53)</f>
        <v>155.4225954512755</v>
      </c>
      <c r="D99" s="22">
        <v>127.33924954885049</v>
      </c>
      <c r="E99" s="22">
        <v>151.42883160767229</v>
      </c>
      <c r="F99" s="22">
        <v>180.62738334038349</v>
      </c>
      <c r="G99" s="22">
        <v>238.49645898180108</v>
      </c>
      <c r="H99" s="22">
        <v>129.49162801306099</v>
      </c>
      <c r="I99" s="22">
        <v>124.02691850706277</v>
      </c>
      <c r="J99" s="22">
        <v>164.49271929865401</v>
      </c>
      <c r="K99" s="22">
        <v>190.96444903489913</v>
      </c>
      <c r="L99" s="22">
        <v>223.98229074627309</v>
      </c>
    </row>
    <row r="100" spans="1:13">
      <c r="B100" s="6" t="s">
        <v>387</v>
      </c>
      <c r="C100" s="22">
        <v>127.33924954885049</v>
      </c>
      <c r="D100" s="22">
        <v>104.33029012662358</v>
      </c>
      <c r="E100" s="22">
        <v>124.06711984825495</v>
      </c>
      <c r="F100" s="22">
        <v>147.98977829287182</v>
      </c>
      <c r="G100" s="22">
        <v>195.40247683176568</v>
      </c>
      <c r="H100" s="22">
        <v>106.0937548119344</v>
      </c>
      <c r="I100" s="22">
        <v>101.61646497208973</v>
      </c>
      <c r="J100" s="22">
        <v>134.7704905514008</v>
      </c>
      <c r="K100" s="22">
        <v>156.45903711752871</v>
      </c>
      <c r="L100" s="22">
        <v>183.51087712213845</v>
      </c>
    </row>
    <row r="101" spans="1:13">
      <c r="B101" s="6" t="s">
        <v>388</v>
      </c>
      <c r="C101" s="22">
        <v>151.42883160767229</v>
      </c>
      <c r="D101" s="22">
        <v>124.06711984825495</v>
      </c>
      <c r="E101" s="22">
        <v>147.53769215785277</v>
      </c>
      <c r="F101" s="22">
        <v>175.98595324037186</v>
      </c>
      <c r="G101" s="22">
        <v>232.36801586873059</v>
      </c>
      <c r="H101" s="22">
        <v>126.16419045157717</v>
      </c>
      <c r="I101" s="22">
        <v>120.83990299410723</v>
      </c>
      <c r="J101" s="22">
        <v>160.26588810359212</v>
      </c>
      <c r="K101" s="22">
        <v>186.0573960433135</v>
      </c>
      <c r="L101" s="22">
        <v>218.22680601901976</v>
      </c>
    </row>
    <row r="102" spans="1:13">
      <c r="B102" s="6" t="s">
        <v>389</v>
      </c>
      <c r="C102" s="22">
        <v>180.62738334038349</v>
      </c>
      <c r="D102" s="22">
        <v>147.98977829287182</v>
      </c>
      <c r="E102" s="22">
        <v>175.98595324037186</v>
      </c>
      <c r="F102" s="22">
        <v>209.91961637020836</v>
      </c>
      <c r="G102" s="22">
        <v>277.17328485442101</v>
      </c>
      <c r="H102" s="22">
        <v>150.49120666510885</v>
      </c>
      <c r="I102" s="22">
        <v>144.14028853819323</v>
      </c>
      <c r="J102" s="22">
        <v>191.16840366222462</v>
      </c>
      <c r="K102" s="22">
        <v>221.93303772890232</v>
      </c>
      <c r="L102" s="22">
        <v>260.30536277312098</v>
      </c>
    </row>
    <row r="103" spans="1:13">
      <c r="B103" s="6" t="s">
        <v>390</v>
      </c>
      <c r="C103" s="22">
        <v>238.49645898180108</v>
      </c>
      <c r="D103" s="22">
        <v>195.40247683176568</v>
      </c>
      <c r="E103" s="22">
        <v>232.36801586873059</v>
      </c>
      <c r="F103" s="22">
        <v>277.17328485442101</v>
      </c>
      <c r="G103" s="22">
        <v>365.97356247785609</v>
      </c>
      <c r="H103" s="22">
        <v>198.70530831912058</v>
      </c>
      <c r="I103" s="22">
        <v>190.31969448504103</v>
      </c>
      <c r="J103" s="22">
        <v>252.41459240278306</v>
      </c>
      <c r="K103" s="22">
        <v>293.03554450364379</v>
      </c>
      <c r="L103" s="22">
        <v>343.70152591078721</v>
      </c>
    </row>
    <row r="104" spans="1:13">
      <c r="B104" s="6" t="s">
        <v>391</v>
      </c>
      <c r="C104" s="22">
        <v>129.49162801306099</v>
      </c>
      <c r="D104" s="22">
        <v>106.0937548119344</v>
      </c>
      <c r="E104" s="22">
        <v>126.16419045157717</v>
      </c>
      <c r="F104" s="22">
        <v>150.49120666510885</v>
      </c>
      <c r="G104" s="22">
        <v>198.70530831912058</v>
      </c>
      <c r="H104" s="22">
        <v>107.88702683021212</v>
      </c>
      <c r="I104" s="22">
        <v>103.33405865659799</v>
      </c>
      <c r="J104" s="22">
        <v>137.04847713057129</v>
      </c>
      <c r="K104" s="22">
        <v>159.10361891941605</v>
      </c>
      <c r="L104" s="22">
        <v>186.6127083427987</v>
      </c>
    </row>
    <row r="105" spans="1:13">
      <c r="B105" s="6" t="s">
        <v>392</v>
      </c>
      <c r="C105" s="22">
        <v>124.02691850706277</v>
      </c>
      <c r="D105" s="22">
        <v>101.61646497208973</v>
      </c>
      <c r="E105" s="22">
        <v>120.83990299410723</v>
      </c>
      <c r="F105" s="22">
        <v>144.14028853819323</v>
      </c>
      <c r="G105" s="22">
        <v>190.31969448504103</v>
      </c>
      <c r="H105" s="22">
        <v>103.33405865659799</v>
      </c>
      <c r="I105" s="22">
        <v>98.973231464147119</v>
      </c>
      <c r="J105" s="22">
        <v>131.26485909093651</v>
      </c>
      <c r="K105" s="22">
        <v>152.38924616738026</v>
      </c>
      <c r="L105" s="22">
        <v>178.73741743118774</v>
      </c>
    </row>
    <row r="106" spans="1:13">
      <c r="B106" s="6" t="s">
        <v>393</v>
      </c>
      <c r="C106" s="22">
        <v>164.49271929865401</v>
      </c>
      <c r="D106" s="22">
        <v>134.7704905514008</v>
      </c>
      <c r="E106" s="22">
        <v>160.26588810359212</v>
      </c>
      <c r="F106" s="22">
        <v>191.16840366222462</v>
      </c>
      <c r="G106" s="22">
        <v>252.41459240278306</v>
      </c>
      <c r="H106" s="22">
        <v>137.04847713057129</v>
      </c>
      <c r="I106" s="22">
        <v>131.26485909093651</v>
      </c>
      <c r="J106" s="22">
        <v>174.09215580078464</v>
      </c>
      <c r="K106" s="22">
        <v>202.10871797574262</v>
      </c>
      <c r="L106" s="22">
        <v>237.05340895009383</v>
      </c>
    </row>
    <row r="107" spans="1:13">
      <c r="B107" s="6" t="s">
        <v>394</v>
      </c>
      <c r="C107" s="22">
        <v>190.96444903489913</v>
      </c>
      <c r="D107" s="22">
        <v>156.45903711752871</v>
      </c>
      <c r="E107" s="22">
        <v>186.0573960433135</v>
      </c>
      <c r="F107" s="22">
        <v>221.93303772890232</v>
      </c>
      <c r="G107" s="22">
        <v>293.03554450364379</v>
      </c>
      <c r="H107" s="22">
        <v>159.10361891941605</v>
      </c>
      <c r="I107" s="22">
        <v>152.38924616738026</v>
      </c>
      <c r="J107" s="22">
        <v>202.10871797574262</v>
      </c>
      <c r="K107" s="22">
        <v>234.6339712660056</v>
      </c>
      <c r="L107" s="22">
        <v>275.20229360309276</v>
      </c>
    </row>
    <row r="108" spans="1:13">
      <c r="B108" s="6" t="s">
        <v>395</v>
      </c>
      <c r="C108" s="22">
        <v>223.98229074627309</v>
      </c>
      <c r="D108" s="22">
        <v>183.51087712213845</v>
      </c>
      <c r="E108" s="22">
        <v>218.22680601901976</v>
      </c>
      <c r="F108" s="22">
        <v>260.30536277312098</v>
      </c>
      <c r="G108" s="22">
        <v>343.70152591078721</v>
      </c>
      <c r="H108" s="22">
        <v>186.6127083427987</v>
      </c>
      <c r="I108" s="22">
        <v>178.73741743118774</v>
      </c>
      <c r="J108" s="22">
        <v>237.05340895009383</v>
      </c>
      <c r="K108" s="22">
        <v>275.20229360309276</v>
      </c>
      <c r="L108" s="22">
        <v>322.78489766744076</v>
      </c>
    </row>
    <row r="112" spans="1:13">
      <c r="A112" s="17" t="s">
        <v>478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5" spans="2:12">
      <c r="B115" s="6" t="s">
        <v>6</v>
      </c>
      <c r="C115" s="109" t="s">
        <v>442</v>
      </c>
      <c r="D115" s="2"/>
      <c r="E115" s="2"/>
      <c r="F115" s="2"/>
      <c r="G115" s="2"/>
      <c r="H115" s="2"/>
      <c r="I115" s="2"/>
      <c r="J115" s="2"/>
      <c r="K115" s="2"/>
      <c r="L115" s="2"/>
    </row>
    <row r="116" spans="2:12">
      <c r="B116" s="99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8" spans="2:12">
      <c r="B118" s="6" t="s">
        <v>439</v>
      </c>
      <c r="C118" s="6" t="s">
        <v>386</v>
      </c>
      <c r="D118" s="6" t="s">
        <v>387</v>
      </c>
      <c r="E118" s="6" t="s">
        <v>388</v>
      </c>
      <c r="F118" s="6" t="s">
        <v>389</v>
      </c>
      <c r="G118" s="6" t="s">
        <v>390</v>
      </c>
      <c r="H118" s="6" t="s">
        <v>391</v>
      </c>
      <c r="I118" s="6" t="s">
        <v>392</v>
      </c>
      <c r="J118" s="6" t="s">
        <v>393</v>
      </c>
      <c r="K118" s="6" t="s">
        <v>394</v>
      </c>
      <c r="L118" s="6" t="s">
        <v>395</v>
      </c>
    </row>
    <row r="119" spans="2:12">
      <c r="B119" s="6" t="s">
        <v>386</v>
      </c>
      <c r="C119" s="22">
        <f t="array" ref="C119:L128">C66:L75/C54-C87:L96</f>
        <v>155.42259545127672</v>
      </c>
      <c r="D119" s="22">
        <v>59.303280997568436</v>
      </c>
      <c r="E119" s="22">
        <v>76.536777475876079</v>
      </c>
      <c r="F119" s="22">
        <v>77.762838697852203</v>
      </c>
      <c r="G119" s="22">
        <v>100.64344656267713</v>
      </c>
      <c r="H119" s="22">
        <v>44.250884911090907</v>
      </c>
      <c r="I119" s="22">
        <v>-7.7296792587585514</v>
      </c>
      <c r="J119" s="22">
        <v>-45.856404158515943</v>
      </c>
      <c r="K119" s="22">
        <v>78.022042441802114</v>
      </c>
      <c r="L119" s="22">
        <v>77.376821440777348</v>
      </c>
    </row>
    <row r="120" spans="2:12">
      <c r="B120" s="6" t="s">
        <v>387</v>
      </c>
      <c r="C120" s="22">
        <v>59.303280997568436</v>
      </c>
      <c r="D120" s="22">
        <v>104.33029012662337</v>
      </c>
      <c r="E120" s="22">
        <v>84.411960142339012</v>
      </c>
      <c r="F120" s="22">
        <v>99.960740144211741</v>
      </c>
      <c r="G120" s="22">
        <v>141.96480890978637</v>
      </c>
      <c r="H120" s="22">
        <v>37.277832769210363</v>
      </c>
      <c r="I120" s="22">
        <v>11.302791518330196</v>
      </c>
      <c r="J120" s="22">
        <v>22.633720234156499</v>
      </c>
      <c r="K120" s="22">
        <v>111.22434942246582</v>
      </c>
      <c r="L120" s="22">
        <v>127.3663778489954</v>
      </c>
    </row>
    <row r="121" spans="2:12">
      <c r="B121" s="6" t="s">
        <v>388</v>
      </c>
      <c r="C121" s="22">
        <v>76.536777475876079</v>
      </c>
      <c r="D121" s="22">
        <v>84.411960142339012</v>
      </c>
      <c r="E121" s="22">
        <v>147.5376921578536</v>
      </c>
      <c r="F121" s="22">
        <v>115.4986159146647</v>
      </c>
      <c r="G121" s="22">
        <v>138.34247714055527</v>
      </c>
      <c r="H121" s="22">
        <v>45.259907797624692</v>
      </c>
      <c r="I121" s="22">
        <v>30.977097375163794</v>
      </c>
      <c r="J121" s="22">
        <v>14.684737777362898</v>
      </c>
      <c r="K121" s="22">
        <v>121.24826196129834</v>
      </c>
      <c r="L121" s="22">
        <v>149.65953847400669</v>
      </c>
    </row>
    <row r="122" spans="2:12">
      <c r="B122" s="6" t="s">
        <v>389</v>
      </c>
      <c r="C122" s="22">
        <v>77.762838697852203</v>
      </c>
      <c r="D122" s="22">
        <v>99.960740144211741</v>
      </c>
      <c r="E122" s="22">
        <v>115.4986159146647</v>
      </c>
      <c r="F122" s="22">
        <v>209.91961637020904</v>
      </c>
      <c r="G122" s="22">
        <v>219.4741773056794</v>
      </c>
      <c r="H122" s="22">
        <v>108.08024975466469</v>
      </c>
      <c r="I122" s="22">
        <v>91.240795221434382</v>
      </c>
      <c r="J122" s="22">
        <v>86.708142022003813</v>
      </c>
      <c r="K122" s="22">
        <v>204.18977933415772</v>
      </c>
      <c r="L122" s="22">
        <v>217.81011739067981</v>
      </c>
    </row>
    <row r="123" spans="2:12">
      <c r="B123" s="6" t="s">
        <v>390</v>
      </c>
      <c r="C123" s="22">
        <v>100.64344656267713</v>
      </c>
      <c r="D123" s="22">
        <v>141.96480890978637</v>
      </c>
      <c r="E123" s="22">
        <v>138.34247714055527</v>
      </c>
      <c r="F123" s="22">
        <v>219.4741773056794</v>
      </c>
      <c r="G123" s="22">
        <v>365.97356247785683</v>
      </c>
      <c r="H123" s="22">
        <v>132.70801151521846</v>
      </c>
      <c r="I123" s="22">
        <v>89.550999682074689</v>
      </c>
      <c r="J123" s="22">
        <v>104.17033367878867</v>
      </c>
      <c r="K123" s="22">
        <v>233.29492891200971</v>
      </c>
      <c r="L123" s="22">
        <v>229.39437609623747</v>
      </c>
    </row>
    <row r="124" spans="2:12">
      <c r="B124" s="6" t="s">
        <v>391</v>
      </c>
      <c r="C124" s="22">
        <v>44.250884911090907</v>
      </c>
      <c r="D124" s="22">
        <v>37.277832769210363</v>
      </c>
      <c r="E124" s="22">
        <v>45.259907797624692</v>
      </c>
      <c r="F124" s="22">
        <v>108.08024975466469</v>
      </c>
      <c r="G124" s="22">
        <v>132.70801151521846</v>
      </c>
      <c r="H124" s="22">
        <v>107.8870268302162</v>
      </c>
      <c r="I124" s="22">
        <v>59.185824038060673</v>
      </c>
      <c r="J124" s="22">
        <v>63.089963953687402</v>
      </c>
      <c r="K124" s="22">
        <v>103.15456897501463</v>
      </c>
      <c r="L124" s="22">
        <v>78.508305231425766</v>
      </c>
    </row>
    <row r="125" spans="2:12">
      <c r="B125" s="6" t="s">
        <v>392</v>
      </c>
      <c r="C125" s="22">
        <v>-7.7296792587585514</v>
      </c>
      <c r="D125" s="22">
        <v>11.302791518330196</v>
      </c>
      <c r="E125" s="22">
        <v>30.977097375163794</v>
      </c>
      <c r="F125" s="22">
        <v>91.240795221434382</v>
      </c>
      <c r="G125" s="22">
        <v>89.550999682074689</v>
      </c>
      <c r="H125" s="22">
        <v>59.185824038060673</v>
      </c>
      <c r="I125" s="22">
        <v>98.973231464153287</v>
      </c>
      <c r="J125" s="22">
        <v>88.579445607540038</v>
      </c>
      <c r="K125" s="22">
        <v>88.017574235824213</v>
      </c>
      <c r="L125" s="22">
        <v>86.741366700549406</v>
      </c>
    </row>
    <row r="126" spans="2:12">
      <c r="B126" s="6" t="s">
        <v>393</v>
      </c>
      <c r="C126" s="22">
        <v>-45.856404158515943</v>
      </c>
      <c r="D126" s="22">
        <v>22.633720234156499</v>
      </c>
      <c r="E126" s="22">
        <v>14.684737777362898</v>
      </c>
      <c r="F126" s="22">
        <v>86.708142022003813</v>
      </c>
      <c r="G126" s="22">
        <v>104.17033367878867</v>
      </c>
      <c r="H126" s="22">
        <v>63.089963953687402</v>
      </c>
      <c r="I126" s="22">
        <v>88.579445607540038</v>
      </c>
      <c r="J126" s="22">
        <v>174.09215580078489</v>
      </c>
      <c r="K126" s="22">
        <v>76.960948049423678</v>
      </c>
      <c r="L126" s="22">
        <v>72.138654326030519</v>
      </c>
    </row>
    <row r="127" spans="2:12">
      <c r="B127" s="6" t="s">
        <v>394</v>
      </c>
      <c r="C127" s="22">
        <v>78.022042441802114</v>
      </c>
      <c r="D127" s="22">
        <v>111.22434942246582</v>
      </c>
      <c r="E127" s="22">
        <v>121.24826196129834</v>
      </c>
      <c r="F127" s="22">
        <v>204.18977933415772</v>
      </c>
      <c r="G127" s="22">
        <v>233.29492891200971</v>
      </c>
      <c r="H127" s="22">
        <v>103.15456897501463</v>
      </c>
      <c r="I127" s="22">
        <v>88.017574235824213</v>
      </c>
      <c r="J127" s="22">
        <v>76.960948049423678</v>
      </c>
      <c r="K127" s="22">
        <v>234.63397126600648</v>
      </c>
      <c r="L127" s="22">
        <v>235.3932555948395</v>
      </c>
    </row>
    <row r="128" spans="2:12">
      <c r="B128" s="6" t="s">
        <v>395</v>
      </c>
      <c r="C128" s="22">
        <v>77.376821440777348</v>
      </c>
      <c r="D128" s="22">
        <v>127.3663778489954</v>
      </c>
      <c r="E128" s="22">
        <v>149.65953847400669</v>
      </c>
      <c r="F128" s="22">
        <v>217.81011739067981</v>
      </c>
      <c r="G128" s="22">
        <v>229.39437609623747</v>
      </c>
      <c r="H128" s="22">
        <v>78.508305231425766</v>
      </c>
      <c r="I128" s="22">
        <v>86.741366700549406</v>
      </c>
      <c r="J128" s="22">
        <v>72.138654326030519</v>
      </c>
      <c r="K128" s="22">
        <v>235.3932555948395</v>
      </c>
      <c r="L128" s="22">
        <v>322.78489766744133</v>
      </c>
    </row>
    <row r="132" spans="1:13">
      <c r="A132" s="17" t="s">
        <v>479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5" spans="1:13">
      <c r="B135" s="6" t="s">
        <v>6</v>
      </c>
      <c r="C135" s="109" t="s">
        <v>441</v>
      </c>
      <c r="D135" s="2"/>
      <c r="E135" s="2"/>
      <c r="F135" s="2"/>
      <c r="G135" s="2"/>
      <c r="H135" s="2"/>
      <c r="I135" s="2"/>
      <c r="J135" s="2"/>
      <c r="K135" s="2"/>
      <c r="L135" s="2"/>
    </row>
    <row r="136" spans="1:13">
      <c r="B136" s="9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8" spans="1:13">
      <c r="B138" s="6" t="s">
        <v>440</v>
      </c>
      <c r="C138" s="6" t="s">
        <v>386</v>
      </c>
      <c r="D138" s="6" t="s">
        <v>387</v>
      </c>
      <c r="E138" s="6" t="s">
        <v>388</v>
      </c>
      <c r="F138" s="6" t="s">
        <v>389</v>
      </c>
      <c r="G138" s="6" t="s">
        <v>390</v>
      </c>
      <c r="H138" s="6" t="s">
        <v>391</v>
      </c>
      <c r="I138" s="6" t="s">
        <v>392</v>
      </c>
      <c r="J138" s="6" t="s">
        <v>393</v>
      </c>
      <c r="K138" s="6" t="s">
        <v>394</v>
      </c>
      <c r="L138" s="6" t="s">
        <v>395</v>
      </c>
    </row>
    <row r="139" spans="1:13">
      <c r="B139" s="6" t="s">
        <v>386</v>
      </c>
      <c r="C139" s="22">
        <f t="array" ref="C139:L148">C119:L128/C99:L108</f>
        <v>1.0000000000000078</v>
      </c>
      <c r="D139" s="22">
        <v>0.46571093521968832</v>
      </c>
      <c r="E139" s="22">
        <v>0.50543068095625632</v>
      </c>
      <c r="F139" s="22">
        <v>0.43051522565275679</v>
      </c>
      <c r="G139" s="22">
        <v>0.42199136621293365</v>
      </c>
      <c r="H139" s="22">
        <v>0.34172776719300807</v>
      </c>
      <c r="I139" s="22">
        <v>-6.2322593770790018E-2</v>
      </c>
      <c r="J139" s="22">
        <v>-0.27877467376084147</v>
      </c>
      <c r="K139" s="22">
        <v>0.40856841593349885</v>
      </c>
      <c r="L139" s="22">
        <v>0.34545955031967118</v>
      </c>
    </row>
    <row r="140" spans="1:13">
      <c r="B140" s="6" t="s">
        <v>387</v>
      </c>
      <c r="C140" s="22">
        <v>0.46571093521968832</v>
      </c>
      <c r="D140" s="22">
        <v>0.999999999999998</v>
      </c>
      <c r="E140" s="22">
        <v>0.68037333538154432</v>
      </c>
      <c r="F140" s="22">
        <v>0.67545705721911009</v>
      </c>
      <c r="G140" s="22">
        <v>0.72652512502189437</v>
      </c>
      <c r="H140" s="22">
        <v>0.35136689087204415</v>
      </c>
      <c r="I140" s="22">
        <v>0.11122992244844035</v>
      </c>
      <c r="J140" s="22">
        <v>0.16794270126607658</v>
      </c>
      <c r="K140" s="22">
        <v>0.71088478793920007</v>
      </c>
      <c r="L140" s="22">
        <v>0.69405356154569942</v>
      </c>
    </row>
    <row r="141" spans="1:13">
      <c r="B141" s="6" t="s">
        <v>388</v>
      </c>
      <c r="C141" s="22">
        <v>0.50543068095625632</v>
      </c>
      <c r="D141" s="22">
        <v>0.68037333538154432</v>
      </c>
      <c r="E141" s="22">
        <v>1.0000000000000056</v>
      </c>
      <c r="F141" s="22">
        <v>0.65629451548846041</v>
      </c>
      <c r="G141" s="22">
        <v>0.59535937690627672</v>
      </c>
      <c r="H141" s="22">
        <v>0.35873814618574995</v>
      </c>
      <c r="I141" s="22">
        <v>0.25634824762044367</v>
      </c>
      <c r="J141" s="22">
        <v>9.1627344727725379E-2</v>
      </c>
      <c r="K141" s="22">
        <v>0.65167128283936737</v>
      </c>
      <c r="L141" s="22">
        <v>0.68579814370267134</v>
      </c>
    </row>
    <row r="142" spans="1:13">
      <c r="B142" s="6" t="s">
        <v>389</v>
      </c>
      <c r="C142" s="22">
        <v>0.43051522565275679</v>
      </c>
      <c r="D142" s="22">
        <v>0.67545705721911009</v>
      </c>
      <c r="E142" s="22">
        <v>0.65629451548846041</v>
      </c>
      <c r="F142" s="22">
        <v>1.0000000000000033</v>
      </c>
      <c r="G142" s="22">
        <v>0.79183019900692542</v>
      </c>
      <c r="H142" s="22">
        <v>0.71818315601108762</v>
      </c>
      <c r="I142" s="22">
        <v>0.6329999484998815</v>
      </c>
      <c r="J142" s="22">
        <v>0.45356942026470232</v>
      </c>
      <c r="K142" s="22">
        <v>0.92005129756112058</v>
      </c>
      <c r="L142" s="22">
        <v>0.83674848289822013</v>
      </c>
    </row>
    <row r="143" spans="1:13">
      <c r="B143" s="6" t="s">
        <v>390</v>
      </c>
      <c r="C143" s="22">
        <v>0.42199136621293365</v>
      </c>
      <c r="D143" s="22">
        <v>0.72652512502189437</v>
      </c>
      <c r="E143" s="22">
        <v>0.59535937690627672</v>
      </c>
      <c r="F143" s="22">
        <v>0.79183019900692542</v>
      </c>
      <c r="G143" s="22">
        <v>1.000000000000002</v>
      </c>
      <c r="H143" s="22">
        <v>0.66786344379934481</v>
      </c>
      <c r="I143" s="22">
        <v>0.47052933709450301</v>
      </c>
      <c r="J143" s="22">
        <v>0.41269537029207076</v>
      </c>
      <c r="K143" s="22">
        <v>0.79613184573623885</v>
      </c>
      <c r="L143" s="22">
        <v>0.66742321113750347</v>
      </c>
    </row>
    <row r="144" spans="1:13">
      <c r="B144" s="6" t="s">
        <v>391</v>
      </c>
      <c r="C144" s="22">
        <v>0.34172776719300807</v>
      </c>
      <c r="D144" s="22">
        <v>0.35136689087204415</v>
      </c>
      <c r="E144" s="22">
        <v>0.35873814618574995</v>
      </c>
      <c r="F144" s="22">
        <v>0.71818315601108762</v>
      </c>
      <c r="G144" s="22">
        <v>0.66786344379934481</v>
      </c>
      <c r="H144" s="22">
        <v>1.0000000000000377</v>
      </c>
      <c r="I144" s="22">
        <v>0.57276201871396826</v>
      </c>
      <c r="J144" s="22">
        <v>0.46034779280020161</v>
      </c>
      <c r="K144" s="22">
        <v>0.64834835106586164</v>
      </c>
      <c r="L144" s="22">
        <v>0.42070181569419018</v>
      </c>
    </row>
    <row r="145" spans="2:12">
      <c r="B145" s="6" t="s">
        <v>392</v>
      </c>
      <c r="C145" s="22">
        <v>-6.2322593770790018E-2</v>
      </c>
      <c r="D145" s="22">
        <v>0.11122992244844035</v>
      </c>
      <c r="E145" s="22">
        <v>0.25634824762044367</v>
      </c>
      <c r="F145" s="22">
        <v>0.6329999484998815</v>
      </c>
      <c r="G145" s="22">
        <v>0.47052933709450301</v>
      </c>
      <c r="H145" s="22">
        <v>0.57276201871396826</v>
      </c>
      <c r="I145" s="22">
        <v>1.0000000000000624</v>
      </c>
      <c r="J145" s="22">
        <v>0.67481461695833422</v>
      </c>
      <c r="K145" s="22">
        <v>0.57758389420174749</v>
      </c>
      <c r="L145" s="22">
        <v>0.48530054840891967</v>
      </c>
    </row>
    <row r="146" spans="2:12">
      <c r="B146" s="6" t="s">
        <v>393</v>
      </c>
      <c r="C146" s="22">
        <v>-0.27877467376084147</v>
      </c>
      <c r="D146" s="22">
        <v>0.16794270126607658</v>
      </c>
      <c r="E146" s="22">
        <v>9.1627344727725379E-2</v>
      </c>
      <c r="F146" s="22">
        <v>0.45356942026470232</v>
      </c>
      <c r="G146" s="22">
        <v>0.41269537029207076</v>
      </c>
      <c r="H146" s="22">
        <v>0.46034779280020161</v>
      </c>
      <c r="I146" s="22">
        <v>0.67481461695833422</v>
      </c>
      <c r="J146" s="22">
        <v>1.0000000000000016</v>
      </c>
      <c r="K146" s="22">
        <v>0.38078984825711792</v>
      </c>
      <c r="L146" s="22">
        <v>0.30431392927666212</v>
      </c>
    </row>
    <row r="147" spans="2:12">
      <c r="B147" s="6" t="s">
        <v>394</v>
      </c>
      <c r="C147" s="22">
        <v>0.40856841593349885</v>
      </c>
      <c r="D147" s="22">
        <v>0.71088478793920007</v>
      </c>
      <c r="E147" s="22">
        <v>0.65167128283936737</v>
      </c>
      <c r="F147" s="22">
        <v>0.92005129756112058</v>
      </c>
      <c r="G147" s="22">
        <v>0.79613184573623885</v>
      </c>
      <c r="H147" s="22">
        <v>0.64834835106586164</v>
      </c>
      <c r="I147" s="22">
        <v>0.57758389420174749</v>
      </c>
      <c r="J147" s="22">
        <v>0.38078984825711792</v>
      </c>
      <c r="K147" s="22">
        <v>1.0000000000000038</v>
      </c>
      <c r="L147" s="22">
        <v>0.85534627096652271</v>
      </c>
    </row>
    <row r="148" spans="2:12">
      <c r="B148" s="6" t="s">
        <v>395</v>
      </c>
      <c r="C148" s="22">
        <v>0.34545955031967118</v>
      </c>
      <c r="D148" s="22">
        <v>0.69405356154569942</v>
      </c>
      <c r="E148" s="22">
        <v>0.68579814370267134</v>
      </c>
      <c r="F148" s="22">
        <v>0.83674848289822013</v>
      </c>
      <c r="G148" s="22">
        <v>0.66742321113750347</v>
      </c>
      <c r="H148" s="22">
        <v>0.42070181569419018</v>
      </c>
      <c r="I148" s="22">
        <v>0.48530054840891967</v>
      </c>
      <c r="J148" s="22">
        <v>0.30431392927666212</v>
      </c>
      <c r="K148" s="22">
        <v>0.85534627096652271</v>
      </c>
      <c r="L148" s="22">
        <v>1.0000000000000018</v>
      </c>
    </row>
    <row r="150" spans="2:12">
      <c r="B150" s="127" t="s">
        <v>443</v>
      </c>
      <c r="C150" s="127"/>
      <c r="D150" s="127"/>
      <c r="E150" s="127"/>
    </row>
    <row r="151" spans="2:12">
      <c r="B151" s="135" t="s">
        <v>444</v>
      </c>
      <c r="C151" s="127"/>
      <c r="D151" s="127"/>
      <c r="E151" s="127"/>
    </row>
    <row r="153" spans="2:12">
      <c r="B153" s="6" t="s">
        <v>440</v>
      </c>
      <c r="C153" s="6" t="s">
        <v>386</v>
      </c>
      <c r="D153" s="6" t="s">
        <v>387</v>
      </c>
      <c r="E153" s="6" t="s">
        <v>388</v>
      </c>
      <c r="F153" s="6" t="s">
        <v>389</v>
      </c>
      <c r="G153" s="6" t="s">
        <v>390</v>
      </c>
      <c r="H153" s="6" t="s">
        <v>391</v>
      </c>
      <c r="I153" s="6" t="s">
        <v>392</v>
      </c>
      <c r="J153" s="6" t="s">
        <v>393</v>
      </c>
      <c r="K153" s="6" t="s">
        <v>394</v>
      </c>
      <c r="L153" s="6" t="s">
        <v>395</v>
      </c>
    </row>
    <row r="154" spans="2:12">
      <c r="B154" s="6" t="s">
        <v>386</v>
      </c>
      <c r="C154" s="2">
        <v>1.0000000000000004</v>
      </c>
      <c r="D154" s="2">
        <v>0.46571093521968016</v>
      </c>
      <c r="E154" s="2">
        <v>0.50543068095623889</v>
      </c>
      <c r="F154" s="2">
        <v>0.43051522565274397</v>
      </c>
      <c r="G154" s="2">
        <v>0.4219913662129311</v>
      </c>
      <c r="H154" s="2">
        <v>0.3417277671929988</v>
      </c>
      <c r="I154" s="2">
        <v>-6.2322593770831193E-2</v>
      </c>
      <c r="J154" s="2">
        <v>-0.27877467376084064</v>
      </c>
      <c r="K154" s="2">
        <v>0.40856841593350451</v>
      </c>
      <c r="L154" s="2">
        <v>0.34545955031966746</v>
      </c>
    </row>
    <row r="155" spans="2:12">
      <c r="B155" s="6" t="s">
        <v>387</v>
      </c>
      <c r="C155" s="2">
        <v>0.46571093521968016</v>
      </c>
      <c r="D155" s="2">
        <v>0.99999999999997402</v>
      </c>
      <c r="E155" s="2">
        <v>0.68037333538151079</v>
      </c>
      <c r="F155" s="2">
        <v>0.67545705721907545</v>
      </c>
      <c r="G155" s="2">
        <v>0.72652512502188871</v>
      </c>
      <c r="H155" s="2">
        <v>0.35136689087203726</v>
      </c>
      <c r="I155" s="2">
        <v>0.11122992244839601</v>
      </c>
      <c r="J155" s="2">
        <v>0.16794270126609584</v>
      </c>
      <c r="K155" s="2">
        <v>0.71088478793921028</v>
      </c>
      <c r="L155" s="2">
        <v>0.69405356154569364</v>
      </c>
    </row>
    <row r="156" spans="2:12">
      <c r="B156" s="6" t="s">
        <v>388</v>
      </c>
      <c r="C156" s="2">
        <v>0.50543068095623889</v>
      </c>
      <c r="D156" s="2">
        <v>0.68037333538151079</v>
      </c>
      <c r="E156" s="2">
        <v>0.99999999999999833</v>
      </c>
      <c r="F156" s="2">
        <v>0.65629451548843953</v>
      </c>
      <c r="G156" s="2">
        <v>0.5953593769062635</v>
      </c>
      <c r="H156" s="2">
        <v>0.35873814618575611</v>
      </c>
      <c r="I156" s="2">
        <v>0.2563482476203795</v>
      </c>
      <c r="J156" s="2">
        <v>9.1627344727720647E-2</v>
      </c>
      <c r="K156" s="2">
        <v>0.65167128283936793</v>
      </c>
      <c r="L156" s="2">
        <v>0.685798143702673</v>
      </c>
    </row>
    <row r="157" spans="2:12">
      <c r="B157" s="6" t="s">
        <v>389</v>
      </c>
      <c r="C157" s="2">
        <v>0.43051522565274397</v>
      </c>
      <c r="D157" s="2">
        <v>0.67545705721907545</v>
      </c>
      <c r="E157" s="2">
        <v>0.65629451548843953</v>
      </c>
      <c r="F157" s="2">
        <v>0.99999999999998257</v>
      </c>
      <c r="G157" s="2">
        <v>0.79183019900691332</v>
      </c>
      <c r="H157" s="2">
        <v>0.71818315601107574</v>
      </c>
      <c r="I157" s="2">
        <v>0.63299994849982977</v>
      </c>
      <c r="J157" s="2">
        <v>0.4535694202646966</v>
      </c>
      <c r="K157" s="2">
        <v>0.92005129756111059</v>
      </c>
      <c r="L157" s="2">
        <v>0.83674848289821346</v>
      </c>
    </row>
    <row r="158" spans="2:12">
      <c r="B158" s="6" t="s">
        <v>390</v>
      </c>
      <c r="C158" s="2">
        <v>0.4219913662129311</v>
      </c>
      <c r="D158" s="2">
        <v>0.72652512502188871</v>
      </c>
      <c r="E158" s="2">
        <v>0.5953593769062635</v>
      </c>
      <c r="F158" s="2">
        <v>0.79183019900691332</v>
      </c>
      <c r="G158" s="2">
        <v>1.0000000000000027</v>
      </c>
      <c r="H158" s="2">
        <v>0.66786344379935358</v>
      </c>
      <c r="I158" s="2">
        <v>0.47052933709448924</v>
      </c>
      <c r="J158" s="2">
        <v>0.41269537029206876</v>
      </c>
      <c r="K158" s="2">
        <v>0.79613184573624629</v>
      </c>
      <c r="L158" s="2">
        <v>0.66742321113750658</v>
      </c>
    </row>
    <row r="159" spans="2:12">
      <c r="B159" s="6" t="s">
        <v>391</v>
      </c>
      <c r="C159" s="2">
        <v>0.3417277671929988</v>
      </c>
      <c r="D159" s="2">
        <v>0.35136689087203726</v>
      </c>
      <c r="E159" s="2">
        <v>0.35873814618575611</v>
      </c>
      <c r="F159" s="2">
        <v>0.71818315601107574</v>
      </c>
      <c r="G159" s="2">
        <v>0.66786344379935358</v>
      </c>
      <c r="H159" s="2">
        <v>1.0000000000000155</v>
      </c>
      <c r="I159" s="2">
        <v>0.57276201871395072</v>
      </c>
      <c r="J159" s="2">
        <v>0.46034779280021054</v>
      </c>
      <c r="K159" s="2">
        <v>0.6483483510658774</v>
      </c>
      <c r="L159" s="2">
        <v>0.42070181569419846</v>
      </c>
    </row>
    <row r="160" spans="2:12">
      <c r="B160" s="6" t="s">
        <v>392</v>
      </c>
      <c r="C160" s="2">
        <v>-6.2322593770831193E-2</v>
      </c>
      <c r="D160" s="2">
        <v>0.11122992244839601</v>
      </c>
      <c r="E160" s="2">
        <v>0.2563482476203795</v>
      </c>
      <c r="F160" s="2">
        <v>0.63299994849982977</v>
      </c>
      <c r="G160" s="2">
        <v>0.47052933709448924</v>
      </c>
      <c r="H160" s="2">
        <v>0.57276201871395072</v>
      </c>
      <c r="I160" s="2">
        <v>0.99999999999999989</v>
      </c>
      <c r="J160" s="2">
        <v>0.6748146169583108</v>
      </c>
      <c r="K160" s="2">
        <v>0.5775838942017254</v>
      </c>
      <c r="L160" s="2">
        <v>0.4853005484088968</v>
      </c>
    </row>
    <row r="161" spans="2:12">
      <c r="B161" s="6" t="s">
        <v>393</v>
      </c>
      <c r="C161" s="2">
        <v>-0.27877467376084064</v>
      </c>
      <c r="D161" s="2">
        <v>0.16794270126609584</v>
      </c>
      <c r="E161" s="2">
        <v>9.1627344727720647E-2</v>
      </c>
      <c r="F161" s="2">
        <v>0.4535694202646966</v>
      </c>
      <c r="G161" s="2">
        <v>0.41269537029206876</v>
      </c>
      <c r="H161" s="2">
        <v>0.46034779280021054</v>
      </c>
      <c r="I161" s="2">
        <v>0.6748146169583108</v>
      </c>
      <c r="J161" s="2">
        <v>1.0000000000000084</v>
      </c>
      <c r="K161" s="2">
        <v>0.38078984825712348</v>
      </c>
      <c r="L161" s="2">
        <v>0.30431392927666689</v>
      </c>
    </row>
    <row r="162" spans="2:12">
      <c r="B162" s="6" t="s">
        <v>394</v>
      </c>
      <c r="C162" s="2">
        <v>0.40856841593350451</v>
      </c>
      <c r="D162" s="2">
        <v>0.71088478793921028</v>
      </c>
      <c r="E162" s="2">
        <v>0.65167128283936793</v>
      </c>
      <c r="F162" s="2">
        <v>0.92005129756111059</v>
      </c>
      <c r="G162" s="2">
        <v>0.79613184573624629</v>
      </c>
      <c r="H162" s="2">
        <v>0.6483483510658774</v>
      </c>
      <c r="I162" s="2">
        <v>0.5775838942017254</v>
      </c>
      <c r="J162" s="2">
        <v>0.38078984825712348</v>
      </c>
      <c r="K162" s="2">
        <v>1.000000000000002</v>
      </c>
      <c r="L162" s="2">
        <v>0.85534627096652849</v>
      </c>
    </row>
    <row r="163" spans="2:12">
      <c r="B163" s="6" t="s">
        <v>395</v>
      </c>
      <c r="C163" s="2">
        <v>0.34545955031966746</v>
      </c>
      <c r="D163" s="2">
        <v>0.69405356154569364</v>
      </c>
      <c r="E163" s="2">
        <v>0.685798143702673</v>
      </c>
      <c r="F163" s="2">
        <v>0.83674848289821346</v>
      </c>
      <c r="G163" s="2">
        <v>0.66742321113750658</v>
      </c>
      <c r="H163" s="2">
        <v>0.42070181569419846</v>
      </c>
      <c r="I163" s="2">
        <v>0.4853005484088968</v>
      </c>
      <c r="J163" s="2">
        <v>0.30431392927666689</v>
      </c>
      <c r="K163" s="2">
        <v>0.85534627096652849</v>
      </c>
      <c r="L163" s="2">
        <v>1.0000000000000056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49"/>
  <sheetViews>
    <sheetView workbookViewId="0">
      <selection activeCell="B15" sqref="B15"/>
    </sheetView>
  </sheetViews>
  <sheetFormatPr baseColWidth="10" defaultRowHeight="12.75"/>
  <cols>
    <col min="5" max="5" width="23.140625" customWidth="1"/>
    <col min="13" max="13" width="14.28515625" customWidth="1"/>
  </cols>
  <sheetData>
    <row r="1" spans="1:54" s="10" customFormat="1" ht="20.25">
      <c r="A1" s="10" t="s">
        <v>529</v>
      </c>
      <c r="BB1" s="11"/>
    </row>
    <row r="4" spans="1:54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7" spans="1:54">
      <c r="B7" s="252" t="s">
        <v>545</v>
      </c>
      <c r="C7" s="252"/>
      <c r="D7" s="252"/>
      <c r="E7" s="252"/>
      <c r="H7" s="155" t="s">
        <v>557</v>
      </c>
      <c r="I7" s="155"/>
      <c r="J7" s="155"/>
      <c r="K7" s="155"/>
      <c r="L7" s="155"/>
      <c r="M7" s="155"/>
      <c r="N7" s="155"/>
    </row>
    <row r="8" spans="1:54">
      <c r="B8" s="253"/>
      <c r="C8" s="253"/>
      <c r="D8" s="253"/>
      <c r="E8" s="253"/>
      <c r="H8" s="155" t="s">
        <v>558</v>
      </c>
      <c r="I8" s="155"/>
      <c r="J8" s="155"/>
      <c r="K8" s="155"/>
      <c r="L8" s="155"/>
      <c r="M8" s="155"/>
      <c r="N8" s="155"/>
    </row>
    <row r="9" spans="1:54">
      <c r="B9" s="253"/>
      <c r="C9" s="253"/>
      <c r="D9" s="253"/>
      <c r="E9" s="253"/>
      <c r="H9" s="155"/>
      <c r="I9" s="155"/>
      <c r="J9" s="155"/>
      <c r="K9" s="155"/>
      <c r="L9" s="155"/>
      <c r="M9" s="155"/>
      <c r="N9" s="155"/>
    </row>
    <row r="10" spans="1:54">
      <c r="B10" s="253"/>
      <c r="C10" s="253"/>
      <c r="D10" s="253"/>
      <c r="E10" s="253"/>
    </row>
    <row r="11" spans="1:54">
      <c r="B11" s="253"/>
      <c r="C11" s="253"/>
      <c r="D11" s="253"/>
      <c r="E11" s="253"/>
    </row>
    <row r="12" spans="1:54">
      <c r="B12" s="253"/>
      <c r="C12" s="253"/>
      <c r="D12" s="253"/>
      <c r="E12" s="253"/>
    </row>
    <row r="13" spans="1:54">
      <c r="B13" s="155" t="s">
        <v>546</v>
      </c>
      <c r="C13" s="155"/>
      <c r="D13" s="155"/>
      <c r="E13" s="155"/>
    </row>
    <row r="15" spans="1:54">
      <c r="E15" s="6" t="s">
        <v>543</v>
      </c>
      <c r="H15" s="6" t="s">
        <v>537</v>
      </c>
    </row>
    <row r="17" spans="2:14">
      <c r="C17" s="160" t="s">
        <v>530</v>
      </c>
      <c r="E17" s="160" t="s">
        <v>531</v>
      </c>
      <c r="H17" s="160" t="s">
        <v>532</v>
      </c>
    </row>
    <row r="18" spans="2:14">
      <c r="B18" s="6" t="s">
        <v>533</v>
      </c>
      <c r="C18" s="161">
        <v>1</v>
      </c>
      <c r="E18" s="161">
        <v>0</v>
      </c>
      <c r="H18" s="161">
        <v>1</v>
      </c>
    </row>
    <row r="19" spans="2:14">
      <c r="B19" s="6" t="s">
        <v>534</v>
      </c>
      <c r="C19" s="162">
        <v>1</v>
      </c>
      <c r="E19" s="162">
        <v>0</v>
      </c>
      <c r="H19" s="162">
        <v>1</v>
      </c>
    </row>
    <row r="20" spans="2:14">
      <c r="C20" s="156"/>
      <c r="E20" s="156"/>
      <c r="H20" s="157"/>
    </row>
    <row r="21" spans="2:14">
      <c r="F21" s="6" t="s">
        <v>535</v>
      </c>
      <c r="G21" s="6"/>
      <c r="H21" s="67">
        <f>SQRT(SUMSQ(H18:H19))</f>
        <v>1.4142135623730951</v>
      </c>
    </row>
    <row r="22" spans="2:14">
      <c r="F22" s="6" t="s">
        <v>544</v>
      </c>
      <c r="G22" s="6"/>
      <c r="H22" s="68">
        <f t="array" ref="H22">MMULT(MMULT(TRANSPOSE(H18:H19),G48:H49),H18:H19)</f>
        <v>1.3333333333333333</v>
      </c>
      <c r="J22" s="155" t="s">
        <v>552</v>
      </c>
      <c r="K22" s="155"/>
      <c r="L22" s="155"/>
      <c r="M22" s="155"/>
      <c r="N22" s="155"/>
    </row>
    <row r="23" spans="2:14">
      <c r="F23" s="6" t="s">
        <v>536</v>
      </c>
      <c r="G23" s="6"/>
      <c r="H23" s="69">
        <f>SQRT(H22)</f>
        <v>1.1547005383792515</v>
      </c>
      <c r="J23" s="135" t="s">
        <v>553</v>
      </c>
      <c r="K23" s="155"/>
      <c r="L23" s="155"/>
      <c r="M23" s="155"/>
      <c r="N23" s="155"/>
    </row>
    <row r="24" spans="2:14">
      <c r="J24" s="155"/>
      <c r="K24" s="155"/>
      <c r="L24" s="155"/>
      <c r="M24" s="155"/>
      <c r="N24" s="155"/>
    </row>
    <row r="25" spans="2:14">
      <c r="H25" t="s">
        <v>537</v>
      </c>
      <c r="J25" s="155" t="s">
        <v>548</v>
      </c>
      <c r="K25" s="155"/>
      <c r="L25" s="155"/>
      <c r="M25" s="155"/>
      <c r="N25" s="155"/>
    </row>
    <row r="26" spans="2:14">
      <c r="J26" s="155" t="s">
        <v>550</v>
      </c>
      <c r="K26" s="155"/>
      <c r="L26" s="155"/>
      <c r="M26" s="155"/>
      <c r="N26" s="155"/>
    </row>
    <row r="27" spans="2:14">
      <c r="C27" s="160" t="s">
        <v>547</v>
      </c>
      <c r="E27" s="160" t="s">
        <v>531</v>
      </c>
      <c r="H27" s="160" t="s">
        <v>532</v>
      </c>
      <c r="J27" s="155" t="s">
        <v>549</v>
      </c>
      <c r="K27" s="155"/>
      <c r="L27" s="155"/>
      <c r="M27" s="155"/>
      <c r="N27" s="155"/>
    </row>
    <row r="28" spans="2:14">
      <c r="B28" s="6" t="s">
        <v>533</v>
      </c>
      <c r="C28" s="161">
        <v>1</v>
      </c>
      <c r="E28" s="161">
        <v>0</v>
      </c>
      <c r="H28" s="161">
        <v>1</v>
      </c>
      <c r="J28" s="155" t="s">
        <v>554</v>
      </c>
      <c r="K28" s="155"/>
      <c r="L28" s="155"/>
      <c r="M28" s="155"/>
      <c r="N28" s="155"/>
    </row>
    <row r="29" spans="2:14">
      <c r="B29" s="6" t="s">
        <v>534</v>
      </c>
      <c r="C29" s="162">
        <v>-1</v>
      </c>
      <c r="E29" s="162">
        <v>0</v>
      </c>
      <c r="H29" s="162">
        <v>-1</v>
      </c>
      <c r="J29" s="155" t="s">
        <v>555</v>
      </c>
      <c r="K29" s="155"/>
      <c r="L29" s="155"/>
      <c r="M29" s="155"/>
      <c r="N29" s="155"/>
    </row>
    <row r="30" spans="2:14">
      <c r="C30" s="156"/>
      <c r="E30" s="156"/>
      <c r="H30" s="157"/>
      <c r="J30" s="155" t="s">
        <v>556</v>
      </c>
      <c r="K30" s="155"/>
      <c r="L30" s="155"/>
      <c r="M30" s="155"/>
      <c r="N30" s="155"/>
    </row>
    <row r="31" spans="2:14">
      <c r="F31" s="6" t="s">
        <v>535</v>
      </c>
      <c r="G31" s="6"/>
      <c r="H31" s="67">
        <f>SQRT(SUMSQ(H28:H29))</f>
        <v>1.4142135623730951</v>
      </c>
      <c r="J31" s="155"/>
      <c r="K31" s="155"/>
      <c r="L31" s="155"/>
      <c r="M31" s="155"/>
      <c r="N31" s="155"/>
    </row>
    <row r="32" spans="2:14">
      <c r="F32" s="6" t="s">
        <v>544</v>
      </c>
      <c r="G32" s="6"/>
      <c r="H32" s="68">
        <f t="array" ref="H32">MMULT(MMULT(TRANSPOSE(H28:H29),G48:H49),H28:H29)</f>
        <v>4</v>
      </c>
    </row>
    <row r="33" spans="1:14">
      <c r="F33" s="6" t="s">
        <v>536</v>
      </c>
      <c r="G33" s="6"/>
      <c r="H33" s="69">
        <f>SQRT(H32)</f>
        <v>2</v>
      </c>
    </row>
    <row r="36" spans="1:14" ht="15.75">
      <c r="A36" s="15" t="s">
        <v>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9" spans="1:14">
      <c r="A39" s="158" t="s">
        <v>551</v>
      </c>
      <c r="B39" s="15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2" spans="1:14">
      <c r="C42" s="6" t="s">
        <v>533</v>
      </c>
      <c r="D42" s="6" t="s">
        <v>534</v>
      </c>
      <c r="F42" s="6" t="s">
        <v>538</v>
      </c>
      <c r="G42" s="6" t="s">
        <v>533</v>
      </c>
      <c r="H42" s="6" t="s">
        <v>534</v>
      </c>
      <c r="J42" s="6" t="s">
        <v>539</v>
      </c>
      <c r="K42" s="6" t="s">
        <v>533</v>
      </c>
      <c r="L42" s="6" t="s">
        <v>534</v>
      </c>
    </row>
    <row r="43" spans="1:14">
      <c r="B43" s="6" t="s">
        <v>533</v>
      </c>
      <c r="C43" s="73" t="s">
        <v>540</v>
      </c>
      <c r="D43" s="75" t="s">
        <v>541</v>
      </c>
      <c r="F43" s="6" t="s">
        <v>533</v>
      </c>
      <c r="G43" s="55">
        <v>1</v>
      </c>
      <c r="H43" s="57">
        <v>0.5</v>
      </c>
      <c r="J43" s="6" t="s">
        <v>533</v>
      </c>
      <c r="K43" s="55">
        <v>1</v>
      </c>
      <c r="L43" s="57">
        <f>H43/SQRT(G43*H44)</f>
        <v>0.5</v>
      </c>
    </row>
    <row r="44" spans="1:14">
      <c r="B44" s="6" t="s">
        <v>534</v>
      </c>
      <c r="C44" s="38" t="str">
        <f>D43</f>
        <v>cov12</v>
      </c>
      <c r="D44" s="40" t="s">
        <v>542</v>
      </c>
      <c r="F44" s="6" t="s">
        <v>534</v>
      </c>
      <c r="G44" s="61">
        <f>H43</f>
        <v>0.5</v>
      </c>
      <c r="H44" s="63">
        <v>1</v>
      </c>
      <c r="J44" s="6" t="s">
        <v>534</v>
      </c>
      <c r="K44" s="61">
        <f>L43</f>
        <v>0.5</v>
      </c>
      <c r="L44" s="63">
        <v>1</v>
      </c>
    </row>
    <row r="45" spans="1:14">
      <c r="F45" s="6" t="s">
        <v>274</v>
      </c>
      <c r="G45" s="163">
        <f>MDETERM(G43:H44)</f>
        <v>0.75</v>
      </c>
    </row>
    <row r="47" spans="1:14" ht="14.25">
      <c r="F47" s="6" t="s">
        <v>643</v>
      </c>
      <c r="G47" s="6" t="s">
        <v>533</v>
      </c>
      <c r="H47" s="6" t="s">
        <v>534</v>
      </c>
    </row>
    <row r="48" spans="1:14">
      <c r="F48" s="6" t="s">
        <v>533</v>
      </c>
      <c r="G48" s="55">
        <f t="array" ref="G48:H49">MINVERSE(G43:H44)</f>
        <v>1.3333333333333333</v>
      </c>
      <c r="H48" s="57">
        <v>-0.66666666666666663</v>
      </c>
    </row>
    <row r="49" spans="6:8">
      <c r="F49" s="6" t="s">
        <v>534</v>
      </c>
      <c r="G49" s="61">
        <v>-0.66666666666666663</v>
      </c>
      <c r="H49" s="63">
        <v>1.3333333333333333</v>
      </c>
    </row>
  </sheetData>
  <mergeCells count="2">
    <mergeCell ref="B7:E7"/>
    <mergeCell ref="B8:E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296"/>
  <sheetViews>
    <sheetView workbookViewId="0">
      <selection activeCell="L281" sqref="L281"/>
    </sheetView>
  </sheetViews>
  <sheetFormatPr baseColWidth="10" defaultRowHeight="12.75"/>
  <cols>
    <col min="2" max="2" width="14.140625" customWidth="1"/>
    <col min="3" max="3" width="12.42578125" bestFit="1" customWidth="1"/>
  </cols>
  <sheetData>
    <row r="1" spans="1:53" s="10" customFormat="1" ht="20.25">
      <c r="A1" s="10" t="s">
        <v>559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B7" s="6" t="s">
        <v>385</v>
      </c>
      <c r="C7" s="6" t="s">
        <v>533</v>
      </c>
    </row>
    <row r="8" spans="1:53">
      <c r="B8" s="6">
        <v>1</v>
      </c>
      <c r="C8" s="2">
        <v>1889</v>
      </c>
    </row>
    <row r="9" spans="1:53">
      <c r="B9" s="6">
        <v>2</v>
      </c>
      <c r="C9" s="2">
        <v>2403</v>
      </c>
    </row>
    <row r="10" spans="1:53">
      <c r="B10" s="6">
        <v>3</v>
      </c>
      <c r="C10" s="2">
        <v>2119</v>
      </c>
    </row>
    <row r="11" spans="1:53">
      <c r="B11" s="6">
        <v>4</v>
      </c>
      <c r="C11" s="2">
        <v>1645</v>
      </c>
    </row>
    <row r="12" spans="1:53">
      <c r="B12" s="6">
        <v>5</v>
      </c>
      <c r="C12" s="2">
        <v>1976</v>
      </c>
    </row>
    <row r="13" spans="1:53">
      <c r="B13" s="6">
        <v>6</v>
      </c>
      <c r="C13" s="2">
        <v>1712</v>
      </c>
    </row>
    <row r="14" spans="1:53">
      <c r="B14" s="6">
        <v>7</v>
      </c>
      <c r="C14" s="2">
        <v>1943</v>
      </c>
    </row>
    <row r="15" spans="1:53">
      <c r="B15" s="6">
        <v>8</v>
      </c>
      <c r="C15" s="2">
        <v>2104</v>
      </c>
    </row>
    <row r="16" spans="1:53">
      <c r="B16" s="6">
        <v>9</v>
      </c>
      <c r="C16" s="2">
        <v>2983</v>
      </c>
    </row>
    <row r="17" spans="2:3">
      <c r="B17" s="6">
        <v>10</v>
      </c>
      <c r="C17" s="2">
        <v>1745</v>
      </c>
    </row>
    <row r="18" spans="2:3">
      <c r="B18" s="6">
        <v>11</v>
      </c>
      <c r="C18" s="2">
        <v>1710</v>
      </c>
    </row>
    <row r="19" spans="2:3">
      <c r="B19" s="6">
        <v>12</v>
      </c>
      <c r="C19" s="2">
        <v>2046</v>
      </c>
    </row>
    <row r="20" spans="2:3">
      <c r="B20" s="6">
        <v>13</v>
      </c>
      <c r="C20" s="2">
        <v>1840</v>
      </c>
    </row>
    <row r="21" spans="2:3">
      <c r="B21" s="6">
        <v>14</v>
      </c>
      <c r="C21" s="2">
        <v>1867</v>
      </c>
    </row>
    <row r="22" spans="2:3">
      <c r="B22" s="6">
        <v>15</v>
      </c>
      <c r="C22" s="2">
        <v>1859</v>
      </c>
    </row>
    <row r="23" spans="2:3">
      <c r="B23" s="6">
        <v>16</v>
      </c>
      <c r="C23" s="2">
        <v>1954</v>
      </c>
    </row>
    <row r="24" spans="2:3">
      <c r="B24" s="6">
        <v>17</v>
      </c>
      <c r="C24" s="2">
        <v>1325</v>
      </c>
    </row>
    <row r="25" spans="2:3">
      <c r="B25" s="6">
        <v>18</v>
      </c>
      <c r="C25" s="2">
        <v>1419</v>
      </c>
    </row>
    <row r="26" spans="2:3">
      <c r="B26" s="6">
        <v>19</v>
      </c>
      <c r="C26" s="2">
        <v>1828</v>
      </c>
    </row>
    <row r="27" spans="2:3">
      <c r="B27" s="6">
        <v>20</v>
      </c>
      <c r="C27" s="2">
        <v>1725</v>
      </c>
    </row>
    <row r="28" spans="2:3">
      <c r="B28" s="6">
        <v>21</v>
      </c>
      <c r="C28" s="2">
        <v>2276</v>
      </c>
    </row>
    <row r="29" spans="2:3">
      <c r="B29" s="6">
        <v>22</v>
      </c>
      <c r="C29" s="2">
        <v>1899</v>
      </c>
    </row>
    <row r="30" spans="2:3">
      <c r="B30" s="6">
        <v>23</v>
      </c>
      <c r="C30" s="2">
        <v>1633</v>
      </c>
    </row>
    <row r="31" spans="2:3">
      <c r="B31" s="6">
        <v>24</v>
      </c>
      <c r="C31" s="2">
        <v>2061</v>
      </c>
    </row>
    <row r="32" spans="2:3">
      <c r="B32" s="6">
        <v>25</v>
      </c>
      <c r="C32" s="2">
        <v>1856</v>
      </c>
    </row>
    <row r="33" spans="1:13">
      <c r="B33" s="6">
        <v>26</v>
      </c>
      <c r="C33" s="2">
        <v>1727</v>
      </c>
    </row>
    <row r="34" spans="1:13">
      <c r="B34" s="6">
        <v>27</v>
      </c>
      <c r="C34" s="2">
        <v>2168</v>
      </c>
    </row>
    <row r="35" spans="1:13">
      <c r="B35" s="6">
        <v>28</v>
      </c>
      <c r="C35" s="2">
        <v>1655</v>
      </c>
    </row>
    <row r="36" spans="1:13">
      <c r="B36" s="6">
        <v>29</v>
      </c>
      <c r="C36" s="2">
        <v>2326</v>
      </c>
    </row>
    <row r="37" spans="1:13">
      <c r="B37" s="6">
        <v>30</v>
      </c>
      <c r="C37" s="2">
        <v>1490</v>
      </c>
    </row>
    <row r="41" spans="1:13" ht="15.75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4" spans="1:13">
      <c r="A44" s="17" t="s">
        <v>567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7" spans="1:13">
      <c r="B47" s="6" t="s">
        <v>560</v>
      </c>
      <c r="C47" s="109" t="s">
        <v>561</v>
      </c>
      <c r="D47" s="2"/>
      <c r="E47" s="2"/>
      <c r="F47" s="2"/>
      <c r="G47" s="2"/>
      <c r="H47" s="2"/>
      <c r="I47" s="2"/>
    </row>
    <row r="48" spans="1:13">
      <c r="C48" s="109" t="s">
        <v>562</v>
      </c>
      <c r="D48" s="2"/>
      <c r="E48" s="2"/>
      <c r="F48" s="2"/>
      <c r="G48" s="2"/>
      <c r="H48" s="2"/>
      <c r="I48" s="2"/>
    </row>
    <row r="49" spans="2:9">
      <c r="C49" s="109" t="s">
        <v>563</v>
      </c>
      <c r="D49" s="2"/>
      <c r="E49" s="2"/>
      <c r="F49" s="2"/>
      <c r="G49" s="2"/>
      <c r="H49" s="2"/>
      <c r="I49" s="2"/>
    </row>
    <row r="50" spans="2:9">
      <c r="C50" s="109" t="s">
        <v>568</v>
      </c>
      <c r="D50" s="2"/>
      <c r="E50" s="2"/>
      <c r="F50" s="2"/>
      <c r="G50" s="2"/>
      <c r="H50" s="2"/>
      <c r="I50" s="2"/>
    </row>
    <row r="51" spans="2:9">
      <c r="C51" s="2"/>
      <c r="D51" s="2"/>
      <c r="E51" s="2"/>
      <c r="F51" s="2"/>
      <c r="G51" s="2"/>
      <c r="H51" s="2"/>
      <c r="I51" s="2"/>
    </row>
    <row r="53" spans="2:9">
      <c r="B53" s="6" t="s">
        <v>385</v>
      </c>
      <c r="C53" s="6" t="s">
        <v>533</v>
      </c>
    </row>
    <row r="54" spans="2:9">
      <c r="B54" s="6">
        <v>17</v>
      </c>
      <c r="C54" s="8">
        <v>1325</v>
      </c>
    </row>
    <row r="55" spans="2:9">
      <c r="B55" s="6">
        <v>18</v>
      </c>
      <c r="C55" s="8">
        <v>1419</v>
      </c>
    </row>
    <row r="56" spans="2:9">
      <c r="B56" s="6">
        <v>30</v>
      </c>
      <c r="C56" s="8">
        <v>1490</v>
      </c>
    </row>
    <row r="57" spans="2:9">
      <c r="B57" s="6">
        <v>23</v>
      </c>
      <c r="C57" s="8">
        <v>1633</v>
      </c>
    </row>
    <row r="58" spans="2:9">
      <c r="B58" s="6">
        <v>4</v>
      </c>
      <c r="C58" s="8">
        <v>1645</v>
      </c>
    </row>
    <row r="59" spans="2:9">
      <c r="B59" s="6">
        <v>28</v>
      </c>
      <c r="C59" s="8">
        <v>1655</v>
      </c>
    </row>
    <row r="60" spans="2:9">
      <c r="B60" s="6">
        <v>11</v>
      </c>
      <c r="C60" s="8">
        <v>1710</v>
      </c>
    </row>
    <row r="61" spans="2:9">
      <c r="B61" s="6">
        <v>6</v>
      </c>
      <c r="C61" s="8">
        <v>1712</v>
      </c>
    </row>
    <row r="62" spans="2:9">
      <c r="B62" s="6">
        <v>20</v>
      </c>
      <c r="C62" s="8">
        <v>1725</v>
      </c>
    </row>
    <row r="63" spans="2:9">
      <c r="B63" s="6">
        <v>26</v>
      </c>
      <c r="C63" s="8">
        <v>1727</v>
      </c>
    </row>
    <row r="64" spans="2:9">
      <c r="B64" s="6">
        <v>10</v>
      </c>
      <c r="C64" s="8">
        <v>1745</v>
      </c>
    </row>
    <row r="65" spans="2:3">
      <c r="B65" s="6">
        <v>19</v>
      </c>
      <c r="C65" s="8">
        <v>1828</v>
      </c>
    </row>
    <row r="66" spans="2:3">
      <c r="B66" s="6">
        <v>13</v>
      </c>
      <c r="C66" s="8">
        <v>1840</v>
      </c>
    </row>
    <row r="67" spans="2:3">
      <c r="B67" s="6">
        <v>25</v>
      </c>
      <c r="C67" s="8">
        <v>1856</v>
      </c>
    </row>
    <row r="68" spans="2:3">
      <c r="B68" s="6">
        <v>15</v>
      </c>
      <c r="C68" s="8">
        <v>1859</v>
      </c>
    </row>
    <row r="69" spans="2:3">
      <c r="B69" s="6">
        <v>14</v>
      </c>
      <c r="C69" s="8">
        <v>1867</v>
      </c>
    </row>
    <row r="70" spans="2:3">
      <c r="B70" s="6">
        <v>1</v>
      </c>
      <c r="C70" s="8">
        <v>1889</v>
      </c>
    </row>
    <row r="71" spans="2:3">
      <c r="B71" s="6">
        <v>22</v>
      </c>
      <c r="C71" s="8">
        <v>1899</v>
      </c>
    </row>
    <row r="72" spans="2:3">
      <c r="B72" s="6">
        <v>7</v>
      </c>
      <c r="C72" s="8">
        <v>1943</v>
      </c>
    </row>
    <row r="73" spans="2:3">
      <c r="B73" s="6">
        <v>16</v>
      </c>
      <c r="C73" s="8">
        <v>1954</v>
      </c>
    </row>
    <row r="74" spans="2:3">
      <c r="B74" s="6">
        <v>5</v>
      </c>
      <c r="C74" s="8">
        <v>1976</v>
      </c>
    </row>
    <row r="75" spans="2:3">
      <c r="B75" s="6">
        <v>12</v>
      </c>
      <c r="C75" s="8">
        <v>2046</v>
      </c>
    </row>
    <row r="76" spans="2:3">
      <c r="B76" s="6">
        <v>24</v>
      </c>
      <c r="C76" s="8">
        <v>2061</v>
      </c>
    </row>
    <row r="77" spans="2:3">
      <c r="B77" s="6">
        <v>8</v>
      </c>
      <c r="C77" s="8">
        <v>2104</v>
      </c>
    </row>
    <row r="78" spans="2:3">
      <c r="B78" s="6">
        <v>3</v>
      </c>
      <c r="C78" s="8">
        <v>2119</v>
      </c>
    </row>
    <row r="79" spans="2:3">
      <c r="B79" s="6">
        <v>27</v>
      </c>
      <c r="C79" s="8">
        <v>2168</v>
      </c>
    </row>
    <row r="80" spans="2:3">
      <c r="B80" s="6">
        <v>21</v>
      </c>
      <c r="C80" s="8">
        <v>2276</v>
      </c>
    </row>
    <row r="81" spans="1:13">
      <c r="B81" s="6">
        <v>29</v>
      </c>
      <c r="C81" s="8">
        <v>2326</v>
      </c>
    </row>
    <row r="82" spans="1:13">
      <c r="B82" s="6">
        <v>2</v>
      </c>
      <c r="C82" s="8">
        <v>2403</v>
      </c>
    </row>
    <row r="83" spans="1:13">
      <c r="B83" s="6">
        <v>9</v>
      </c>
      <c r="C83" s="8">
        <v>2983</v>
      </c>
    </row>
    <row r="85" spans="1:13">
      <c r="B85" s="6" t="s">
        <v>328</v>
      </c>
      <c r="C85" s="8">
        <f>AVERAGE(C54:C83)</f>
        <v>1906.1</v>
      </c>
    </row>
    <row r="86" spans="1:13">
      <c r="B86" s="6" t="s">
        <v>396</v>
      </c>
      <c r="C86" s="8">
        <f>_xlfn.STDEV.P(C54:C83)</f>
        <v>319.52426616247266</v>
      </c>
    </row>
    <row r="90" spans="1:13">
      <c r="A90" s="16" t="s">
        <v>564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3" spans="1:13">
      <c r="B93" s="6" t="s">
        <v>560</v>
      </c>
      <c r="C93" s="109" t="s">
        <v>565</v>
      </c>
      <c r="D93" s="2"/>
      <c r="E93" s="2"/>
      <c r="F93" s="2"/>
      <c r="G93" s="2"/>
      <c r="H93" s="2"/>
      <c r="I93" s="2"/>
    </row>
    <row r="94" spans="1:13">
      <c r="C94" s="109" t="s">
        <v>569</v>
      </c>
      <c r="D94" s="2"/>
      <c r="E94" s="2"/>
      <c r="F94" s="2"/>
      <c r="G94" s="2"/>
      <c r="H94" s="2"/>
      <c r="I94" s="2"/>
    </row>
    <row r="95" spans="1:13">
      <c r="C95" s="109"/>
      <c r="D95" s="2"/>
      <c r="E95" s="2"/>
      <c r="F95" s="2"/>
      <c r="G95" s="2"/>
      <c r="H95" s="2"/>
      <c r="I95" s="2"/>
    </row>
    <row r="97" spans="2:3">
      <c r="B97" s="6" t="s">
        <v>385</v>
      </c>
      <c r="C97" s="6" t="s">
        <v>566</v>
      </c>
    </row>
    <row r="98" spans="2:3">
      <c r="B98" s="6">
        <v>17</v>
      </c>
      <c r="C98" s="8">
        <f t="shared" ref="C98:C127" si="0">(C54-$C$85)/$C$86</f>
        <v>-1.818641216140124</v>
      </c>
    </row>
    <row r="99" spans="2:3">
      <c r="B99" s="6">
        <v>18</v>
      </c>
      <c r="C99" s="8">
        <f t="shared" si="0"/>
        <v>-1.5244538571362147</v>
      </c>
    </row>
    <row r="100" spans="2:3">
      <c r="B100" s="6">
        <v>30</v>
      </c>
      <c r="C100" s="8">
        <f t="shared" si="0"/>
        <v>-1.3022485115056024</v>
      </c>
    </row>
    <row r="101" spans="2:3">
      <c r="B101" s="6">
        <v>23</v>
      </c>
      <c r="C101" s="8">
        <f t="shared" si="0"/>
        <v>-0.8547081674890169</v>
      </c>
    </row>
    <row r="102" spans="2:3">
      <c r="B102" s="6">
        <v>4</v>
      </c>
      <c r="C102" s="8">
        <f t="shared" si="0"/>
        <v>-0.81715233442468815</v>
      </c>
    </row>
    <row r="103" spans="2:3">
      <c r="B103" s="6">
        <v>28</v>
      </c>
      <c r="C103" s="8">
        <f t="shared" si="0"/>
        <v>-0.7858558068710807</v>
      </c>
    </row>
    <row r="104" spans="2:3">
      <c r="B104" s="6">
        <v>11</v>
      </c>
      <c r="C104" s="8">
        <f t="shared" si="0"/>
        <v>-0.61372490532624024</v>
      </c>
    </row>
    <row r="105" spans="2:3">
      <c r="B105" s="6">
        <v>6</v>
      </c>
      <c r="C105" s="8">
        <f t="shared" si="0"/>
        <v>-0.60746559981551873</v>
      </c>
    </row>
    <row r="106" spans="2:3">
      <c r="B106" s="6">
        <v>20</v>
      </c>
      <c r="C106" s="8">
        <f t="shared" si="0"/>
        <v>-0.56678011399582917</v>
      </c>
    </row>
    <row r="107" spans="2:3">
      <c r="B107" s="6">
        <v>26</v>
      </c>
      <c r="C107" s="8">
        <f t="shared" si="0"/>
        <v>-0.56052080848510766</v>
      </c>
    </row>
    <row r="108" spans="2:3">
      <c r="B108" s="6">
        <v>10</v>
      </c>
      <c r="C108" s="8">
        <f t="shared" si="0"/>
        <v>-0.50418705888861437</v>
      </c>
    </row>
    <row r="109" spans="2:3">
      <c r="B109" s="6">
        <v>19</v>
      </c>
      <c r="C109" s="8">
        <f t="shared" si="0"/>
        <v>-0.24442588019367326</v>
      </c>
    </row>
    <row r="110" spans="2:3">
      <c r="B110" s="6">
        <v>13</v>
      </c>
      <c r="C110" s="8">
        <f t="shared" si="0"/>
        <v>-0.20687004712934443</v>
      </c>
    </row>
    <row r="111" spans="2:3">
      <c r="B111" s="6">
        <v>25</v>
      </c>
      <c r="C111" s="8">
        <f t="shared" si="0"/>
        <v>-0.15679560304357262</v>
      </c>
    </row>
    <row r="112" spans="2:3">
      <c r="B112" s="6">
        <v>15</v>
      </c>
      <c r="C112" s="8">
        <f t="shared" si="0"/>
        <v>-0.14740664477749041</v>
      </c>
    </row>
    <row r="113" spans="2:3">
      <c r="B113" s="6">
        <v>14</v>
      </c>
      <c r="C113" s="8">
        <f t="shared" si="0"/>
        <v>-0.12236942273460452</v>
      </c>
    </row>
    <row r="114" spans="2:3">
      <c r="B114" s="6">
        <v>1</v>
      </c>
      <c r="C114" s="8">
        <f t="shared" si="0"/>
        <v>-5.3517062116668318E-2</v>
      </c>
    </row>
    <row r="115" spans="2:3">
      <c r="B115" s="6">
        <v>22</v>
      </c>
      <c r="C115" s="8">
        <f t="shared" si="0"/>
        <v>-2.2220534563060945E-2</v>
      </c>
    </row>
    <row r="116" spans="2:3">
      <c r="B116" s="6">
        <v>7</v>
      </c>
      <c r="C116" s="8">
        <f t="shared" si="0"/>
        <v>0.11548418667281148</v>
      </c>
    </row>
    <row r="117" spans="2:3">
      <c r="B117" s="6">
        <v>16</v>
      </c>
      <c r="C117" s="8">
        <f t="shared" si="0"/>
        <v>0.14991036698177959</v>
      </c>
    </row>
    <row r="118" spans="2:3">
      <c r="B118" s="6">
        <v>5</v>
      </c>
      <c r="C118" s="8">
        <f t="shared" si="0"/>
        <v>0.21876272759971579</v>
      </c>
    </row>
    <row r="119" spans="2:3">
      <c r="B119" s="6">
        <v>12</v>
      </c>
      <c r="C119" s="8">
        <f t="shared" si="0"/>
        <v>0.43783842047496735</v>
      </c>
    </row>
    <row r="120" spans="2:3">
      <c r="B120" s="6">
        <v>24</v>
      </c>
      <c r="C120" s="8">
        <f t="shared" si="0"/>
        <v>0.48478321180537842</v>
      </c>
    </row>
    <row r="121" spans="2:3">
      <c r="B121" s="6">
        <v>8</v>
      </c>
      <c r="C121" s="8">
        <f t="shared" si="0"/>
        <v>0.61935828028589013</v>
      </c>
    </row>
    <row r="122" spans="2:3">
      <c r="B122" s="6">
        <v>3</v>
      </c>
      <c r="C122" s="8">
        <f t="shared" si="0"/>
        <v>0.6663030716163012</v>
      </c>
    </row>
    <row r="123" spans="2:3">
      <c r="B123" s="6">
        <v>27</v>
      </c>
      <c r="C123" s="8">
        <f t="shared" si="0"/>
        <v>0.81965605662897723</v>
      </c>
    </row>
    <row r="124" spans="2:3">
      <c r="B124" s="6">
        <v>21</v>
      </c>
      <c r="C124" s="8">
        <f t="shared" si="0"/>
        <v>1.1576585542079367</v>
      </c>
    </row>
    <row r="125" spans="2:3">
      <c r="B125" s="6">
        <v>29</v>
      </c>
      <c r="C125" s="8">
        <f t="shared" si="0"/>
        <v>1.3141411919759738</v>
      </c>
    </row>
    <row r="126" spans="2:3">
      <c r="B126" s="6">
        <v>2</v>
      </c>
      <c r="C126" s="8">
        <f t="shared" si="0"/>
        <v>1.5551244541387503</v>
      </c>
    </row>
    <row r="127" spans="2:3">
      <c r="B127" s="6">
        <v>9</v>
      </c>
      <c r="C127" s="8">
        <f t="shared" si="0"/>
        <v>3.3703230522479779</v>
      </c>
    </row>
    <row r="129" spans="1:13">
      <c r="B129" s="6" t="s">
        <v>328</v>
      </c>
      <c r="C129" s="8">
        <f>AVERAGE(C98:C127)</f>
        <v>2.6645352591003756E-16</v>
      </c>
    </row>
    <row r="130" spans="1:13">
      <c r="B130" s="6" t="s">
        <v>396</v>
      </c>
      <c r="C130" s="8">
        <f>_xlfn.STDEV.P(C98:C127)</f>
        <v>1</v>
      </c>
    </row>
    <row r="134" spans="1:13">
      <c r="A134" s="16" t="s">
        <v>573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7" spans="1:13">
      <c r="B137" s="6" t="s">
        <v>560</v>
      </c>
      <c r="C137" s="109" t="s">
        <v>570</v>
      </c>
      <c r="D137" s="2"/>
      <c r="E137" s="2"/>
      <c r="F137" s="2"/>
      <c r="H137" s="6" t="s">
        <v>586</v>
      </c>
      <c r="I137" s="109" t="s">
        <v>587</v>
      </c>
      <c r="J137" s="2"/>
      <c r="K137" s="2"/>
      <c r="L137" s="2"/>
      <c r="M137" s="2"/>
    </row>
    <row r="138" spans="1:13">
      <c r="C138" s="109" t="s">
        <v>571</v>
      </c>
      <c r="D138" s="2"/>
      <c r="E138" s="2"/>
      <c r="F138" s="2"/>
      <c r="I138" s="2" t="s">
        <v>588</v>
      </c>
      <c r="J138" s="2"/>
      <c r="K138" s="2"/>
      <c r="L138" s="2"/>
      <c r="M138" s="2"/>
    </row>
    <row r="139" spans="1:13">
      <c r="C139" s="109"/>
      <c r="D139" s="2"/>
      <c r="E139" s="2"/>
      <c r="F139" s="2"/>
      <c r="I139" s="109" t="s">
        <v>589</v>
      </c>
      <c r="J139" s="2"/>
      <c r="K139" s="2"/>
      <c r="L139" s="2"/>
      <c r="M139" s="2"/>
    </row>
    <row r="140" spans="1:13">
      <c r="I140" s="2" t="s">
        <v>590</v>
      </c>
      <c r="J140" s="2"/>
      <c r="K140" s="2"/>
      <c r="L140" s="2"/>
      <c r="M140" s="2"/>
    </row>
    <row r="141" spans="1:13">
      <c r="B141" s="6" t="s">
        <v>385</v>
      </c>
      <c r="C141" s="6" t="s">
        <v>572</v>
      </c>
      <c r="I141" s="2" t="s">
        <v>591</v>
      </c>
      <c r="J141" s="2"/>
      <c r="K141" s="2"/>
      <c r="L141" s="2"/>
      <c r="M141" s="2"/>
    </row>
    <row r="142" spans="1:13">
      <c r="B142" s="6">
        <v>1</v>
      </c>
      <c r="C142" s="8">
        <f>(B142-0.5)/$C$173</f>
        <v>1.6666666666666666E-2</v>
      </c>
      <c r="I142" s="109" t="s">
        <v>592</v>
      </c>
      <c r="J142" s="2"/>
      <c r="K142" s="2"/>
      <c r="L142" s="2"/>
      <c r="M142" s="2"/>
    </row>
    <row r="143" spans="1:13">
      <c r="B143" s="6">
        <v>2</v>
      </c>
      <c r="C143" s="8">
        <f t="shared" ref="C143:C171" si="1">(B143-0.5)/$C$173</f>
        <v>0.05</v>
      </c>
      <c r="I143" s="2" t="s">
        <v>593</v>
      </c>
      <c r="J143" s="2"/>
      <c r="K143" s="2"/>
      <c r="L143" s="2"/>
      <c r="M143" s="2"/>
    </row>
    <row r="144" spans="1:13">
      <c r="B144" s="6">
        <v>3</v>
      </c>
      <c r="C144" s="8">
        <f t="shared" si="1"/>
        <v>8.3333333333333329E-2</v>
      </c>
      <c r="I144" s="109" t="s">
        <v>594</v>
      </c>
      <c r="J144" s="2"/>
      <c r="K144" s="2"/>
      <c r="L144" s="2"/>
      <c r="M144" s="2"/>
    </row>
    <row r="145" spans="2:13">
      <c r="B145" s="6">
        <v>4</v>
      </c>
      <c r="C145" s="8">
        <f t="shared" si="1"/>
        <v>0.11666666666666667</v>
      </c>
      <c r="I145" s="2" t="s">
        <v>585</v>
      </c>
      <c r="J145" s="2"/>
      <c r="K145" s="2"/>
      <c r="L145" s="2"/>
      <c r="M145" s="2"/>
    </row>
    <row r="146" spans="2:13">
      <c r="B146" s="6">
        <v>5</v>
      </c>
      <c r="C146" s="8">
        <f t="shared" si="1"/>
        <v>0.15</v>
      </c>
      <c r="I146" s="2"/>
      <c r="J146" s="2"/>
      <c r="K146" s="2"/>
      <c r="L146" s="2"/>
      <c r="M146" s="2"/>
    </row>
    <row r="147" spans="2:13">
      <c r="B147" s="6">
        <v>6</v>
      </c>
      <c r="C147" s="8">
        <f t="shared" si="1"/>
        <v>0.18333333333333332</v>
      </c>
    </row>
    <row r="148" spans="2:13">
      <c r="B148" s="6">
        <v>7</v>
      </c>
      <c r="C148" s="8">
        <f t="shared" si="1"/>
        <v>0.21666666666666667</v>
      </c>
      <c r="H148" s="155"/>
      <c r="I148" s="155"/>
      <c r="J148" s="155"/>
      <c r="K148" s="155"/>
      <c r="L148" s="155"/>
      <c r="M148" s="155"/>
    </row>
    <row r="149" spans="2:13">
      <c r="B149" s="6">
        <v>8</v>
      </c>
      <c r="C149" s="8">
        <f t="shared" si="1"/>
        <v>0.25</v>
      </c>
      <c r="H149" s="155"/>
      <c r="I149" s="155"/>
      <c r="J149" s="155"/>
      <c r="K149" s="155"/>
      <c r="L149" s="155"/>
      <c r="M149" s="155"/>
    </row>
    <row r="150" spans="2:13">
      <c r="B150" s="6">
        <v>9</v>
      </c>
      <c r="C150" s="8">
        <f t="shared" si="1"/>
        <v>0.28333333333333333</v>
      </c>
      <c r="H150" s="155"/>
      <c r="I150" s="155"/>
      <c r="J150" s="155"/>
      <c r="K150" s="155"/>
      <c r="L150" s="155"/>
      <c r="M150" s="155"/>
    </row>
    <row r="151" spans="2:13">
      <c r="B151" s="6">
        <v>10</v>
      </c>
      <c r="C151" s="8">
        <f t="shared" si="1"/>
        <v>0.31666666666666665</v>
      </c>
      <c r="H151" s="155"/>
      <c r="I151" s="155"/>
      <c r="J151" s="155"/>
      <c r="K151" s="155"/>
      <c r="L151" s="155"/>
      <c r="M151" s="155"/>
    </row>
    <row r="152" spans="2:13">
      <c r="B152" s="6">
        <v>11</v>
      </c>
      <c r="C152" s="8">
        <f t="shared" si="1"/>
        <v>0.35</v>
      </c>
      <c r="H152" s="155"/>
      <c r="I152" s="155"/>
      <c r="J152" s="155"/>
      <c r="K152" s="155"/>
      <c r="L152" s="155"/>
      <c r="M152" s="155"/>
    </row>
    <row r="153" spans="2:13">
      <c r="B153" s="6">
        <v>12</v>
      </c>
      <c r="C153" s="8">
        <f t="shared" si="1"/>
        <v>0.38333333333333336</v>
      </c>
      <c r="H153" s="155"/>
      <c r="I153" s="155"/>
      <c r="J153" s="155"/>
      <c r="K153" s="155"/>
      <c r="L153" s="155"/>
      <c r="M153" s="155"/>
    </row>
    <row r="154" spans="2:13">
      <c r="B154" s="6">
        <v>13</v>
      </c>
      <c r="C154" s="8">
        <f t="shared" si="1"/>
        <v>0.41666666666666669</v>
      </c>
      <c r="H154" s="155"/>
      <c r="I154" s="155"/>
      <c r="J154" s="155" t="s">
        <v>520</v>
      </c>
      <c r="K154" s="155"/>
      <c r="L154" s="155"/>
      <c r="M154" s="155"/>
    </row>
    <row r="155" spans="2:13">
      <c r="B155" s="6">
        <v>14</v>
      </c>
      <c r="C155" s="8">
        <f t="shared" si="1"/>
        <v>0.45</v>
      </c>
      <c r="H155" s="155"/>
      <c r="I155" s="155"/>
      <c r="J155" s="155"/>
      <c r="K155" s="155"/>
      <c r="L155" s="155"/>
      <c r="M155" s="155"/>
    </row>
    <row r="156" spans="2:13">
      <c r="B156" s="6">
        <v>15</v>
      </c>
      <c r="C156" s="8">
        <f t="shared" si="1"/>
        <v>0.48333333333333334</v>
      </c>
      <c r="H156" s="155"/>
      <c r="I156" s="155"/>
      <c r="J156" s="155"/>
      <c r="K156" s="155"/>
      <c r="L156" s="155"/>
      <c r="M156" s="155"/>
    </row>
    <row r="157" spans="2:13">
      <c r="B157" s="6">
        <v>16</v>
      </c>
      <c r="C157" s="8">
        <f t="shared" si="1"/>
        <v>0.51666666666666672</v>
      </c>
      <c r="H157" s="155"/>
      <c r="I157" s="155"/>
      <c r="J157" s="155"/>
      <c r="K157" s="155"/>
      <c r="L157" s="155"/>
      <c r="M157" s="155"/>
    </row>
    <row r="158" spans="2:13">
      <c r="B158" s="6">
        <v>17</v>
      </c>
      <c r="C158" s="8">
        <f t="shared" si="1"/>
        <v>0.55000000000000004</v>
      </c>
      <c r="H158" s="155"/>
      <c r="I158" s="155"/>
      <c r="J158" s="155"/>
      <c r="K158" s="155"/>
      <c r="L158" s="155"/>
      <c r="M158" s="155"/>
    </row>
    <row r="159" spans="2:13">
      <c r="B159" s="6">
        <v>18</v>
      </c>
      <c r="C159" s="8">
        <f t="shared" si="1"/>
        <v>0.58333333333333337</v>
      </c>
      <c r="H159" s="155"/>
      <c r="I159" s="155"/>
      <c r="J159" s="155"/>
      <c r="K159" s="155"/>
      <c r="L159" s="155"/>
      <c r="M159" s="155"/>
    </row>
    <row r="160" spans="2:13">
      <c r="B160" s="6">
        <v>19</v>
      </c>
      <c r="C160" s="8">
        <f t="shared" si="1"/>
        <v>0.6166666666666667</v>
      </c>
      <c r="H160" s="155"/>
      <c r="I160" s="155"/>
      <c r="J160" s="155"/>
      <c r="K160" s="155"/>
      <c r="L160" s="155"/>
      <c r="M160" s="155"/>
    </row>
    <row r="161" spans="2:13">
      <c r="B161" s="6">
        <v>20</v>
      </c>
      <c r="C161" s="8">
        <f t="shared" si="1"/>
        <v>0.65</v>
      </c>
      <c r="H161" s="155"/>
      <c r="I161" s="155"/>
      <c r="J161" s="155"/>
      <c r="K161" s="155"/>
      <c r="L161" s="155"/>
      <c r="M161" s="155"/>
    </row>
    <row r="162" spans="2:13">
      <c r="B162" s="6">
        <v>21</v>
      </c>
      <c r="C162" s="8">
        <f t="shared" si="1"/>
        <v>0.68333333333333335</v>
      </c>
      <c r="H162" s="155"/>
      <c r="I162" s="155"/>
      <c r="J162" s="155"/>
      <c r="K162" s="155"/>
      <c r="L162" s="155"/>
      <c r="M162" s="155"/>
    </row>
    <row r="163" spans="2:13">
      <c r="B163" s="6">
        <v>22</v>
      </c>
      <c r="C163" s="8">
        <f t="shared" si="1"/>
        <v>0.71666666666666667</v>
      </c>
      <c r="H163" s="155"/>
      <c r="I163" s="155"/>
      <c r="J163" s="155"/>
      <c r="K163" s="155"/>
      <c r="L163" s="155"/>
      <c r="M163" s="155"/>
    </row>
    <row r="164" spans="2:13">
      <c r="B164" s="6">
        <v>23</v>
      </c>
      <c r="C164" s="8">
        <f t="shared" si="1"/>
        <v>0.75</v>
      </c>
      <c r="H164" s="155"/>
      <c r="I164" s="155"/>
      <c r="J164" s="155"/>
      <c r="K164" s="155"/>
      <c r="L164" s="155"/>
      <c r="M164" s="155"/>
    </row>
    <row r="165" spans="2:13">
      <c r="B165" s="6">
        <v>24</v>
      </c>
      <c r="C165" s="8">
        <f t="shared" si="1"/>
        <v>0.78333333333333333</v>
      </c>
    </row>
    <row r="166" spans="2:13">
      <c r="B166" s="6">
        <v>25</v>
      </c>
      <c r="C166" s="8">
        <f t="shared" si="1"/>
        <v>0.81666666666666665</v>
      </c>
    </row>
    <row r="167" spans="2:13">
      <c r="B167" s="6">
        <v>26</v>
      </c>
      <c r="C167" s="8">
        <f t="shared" si="1"/>
        <v>0.85</v>
      </c>
    </row>
    <row r="168" spans="2:13">
      <c r="B168" s="6">
        <v>27</v>
      </c>
      <c r="C168" s="8">
        <f t="shared" si="1"/>
        <v>0.8833333333333333</v>
      </c>
    </row>
    <row r="169" spans="2:13">
      <c r="B169" s="6">
        <v>28</v>
      </c>
      <c r="C169" s="8">
        <f t="shared" si="1"/>
        <v>0.91666666666666663</v>
      </c>
    </row>
    <row r="170" spans="2:13">
      <c r="B170" s="6">
        <v>29</v>
      </c>
      <c r="C170" s="8">
        <f t="shared" si="1"/>
        <v>0.95</v>
      </c>
    </row>
    <row r="171" spans="2:13">
      <c r="B171" s="6">
        <v>30</v>
      </c>
      <c r="C171" s="8">
        <f t="shared" si="1"/>
        <v>0.98333333333333328</v>
      </c>
    </row>
    <row r="173" spans="2:13">
      <c r="B173" s="6" t="s">
        <v>397</v>
      </c>
      <c r="C173" s="8">
        <f>COUNTA(C8:C37)</f>
        <v>30</v>
      </c>
    </row>
    <row r="177" spans="1:13">
      <c r="A177" s="17" t="s">
        <v>574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9" spans="1:13">
      <c r="B179" s="6" t="s">
        <v>560</v>
      </c>
      <c r="C179" s="109" t="s">
        <v>576</v>
      </c>
      <c r="D179" s="2"/>
      <c r="E179" s="2"/>
      <c r="F179" s="2"/>
      <c r="G179" s="2"/>
      <c r="H179" s="2"/>
      <c r="I179" s="2"/>
    </row>
    <row r="180" spans="1:13">
      <c r="C180" s="109" t="s">
        <v>577</v>
      </c>
      <c r="D180" s="2"/>
      <c r="E180" s="2"/>
      <c r="F180" s="2"/>
      <c r="G180" s="2"/>
      <c r="H180" s="2"/>
      <c r="I180" s="2"/>
    </row>
    <row r="181" spans="1:13">
      <c r="C181" s="109"/>
      <c r="D181" s="2"/>
      <c r="E181" s="2"/>
      <c r="F181" s="2"/>
      <c r="G181" s="2"/>
      <c r="H181" s="2"/>
      <c r="I181" s="2"/>
    </row>
    <row r="183" spans="1:13">
      <c r="B183" s="6" t="s">
        <v>385</v>
      </c>
      <c r="C183" s="6" t="s">
        <v>575</v>
      </c>
    </row>
    <row r="184" spans="1:13">
      <c r="B184" s="6">
        <v>1</v>
      </c>
      <c r="C184" s="8">
        <f>_xlfn.NORM.S.INV(C142)</f>
        <v>-2.128045234184984</v>
      </c>
    </row>
    <row r="185" spans="1:13">
      <c r="B185" s="6">
        <v>2</v>
      </c>
      <c r="C185" s="8">
        <f t="shared" ref="C185:C213" si="2">_xlfn.NORM.S.INV(C143)</f>
        <v>-1.6448536269514726</v>
      </c>
    </row>
    <row r="186" spans="1:13">
      <c r="B186" s="6">
        <v>3</v>
      </c>
      <c r="C186" s="8">
        <f t="shared" si="2"/>
        <v>-1.3829941271006392</v>
      </c>
    </row>
    <row r="187" spans="1:13">
      <c r="B187" s="6">
        <v>4</v>
      </c>
      <c r="C187" s="8">
        <f t="shared" si="2"/>
        <v>-1.1918161716813944</v>
      </c>
    </row>
    <row r="188" spans="1:13">
      <c r="B188" s="6">
        <v>5</v>
      </c>
      <c r="C188" s="8">
        <f t="shared" si="2"/>
        <v>-1.0364333894937898</v>
      </c>
    </row>
    <row r="189" spans="1:13">
      <c r="B189" s="6">
        <v>6</v>
      </c>
      <c r="C189" s="8">
        <f t="shared" si="2"/>
        <v>-0.90273479164386372</v>
      </c>
    </row>
    <row r="190" spans="1:13">
      <c r="B190" s="6">
        <v>7</v>
      </c>
      <c r="C190" s="8">
        <f t="shared" si="2"/>
        <v>-0.78350037538977446</v>
      </c>
    </row>
    <row r="191" spans="1:13">
      <c r="B191" s="6">
        <v>8</v>
      </c>
      <c r="C191" s="8">
        <f t="shared" si="2"/>
        <v>-0.67448975019608193</v>
      </c>
    </row>
    <row r="192" spans="1:13">
      <c r="B192" s="6">
        <v>9</v>
      </c>
      <c r="C192" s="8">
        <f t="shared" si="2"/>
        <v>-0.57296754849546372</v>
      </c>
    </row>
    <row r="193" spans="2:3">
      <c r="B193" s="6">
        <v>10</v>
      </c>
      <c r="C193" s="8">
        <f t="shared" si="2"/>
        <v>-0.47704042848944361</v>
      </c>
    </row>
    <row r="194" spans="2:3">
      <c r="B194" s="6">
        <v>11</v>
      </c>
      <c r="C194" s="8">
        <f t="shared" si="2"/>
        <v>-0.38532046640756784</v>
      </c>
    </row>
    <row r="195" spans="2:3">
      <c r="B195" s="6">
        <v>12</v>
      </c>
      <c r="C195" s="8">
        <f t="shared" si="2"/>
        <v>-0.29673783825989802</v>
      </c>
    </row>
    <row r="196" spans="2:3">
      <c r="B196" s="6">
        <v>13</v>
      </c>
      <c r="C196" s="8">
        <f t="shared" si="2"/>
        <v>-0.21042839424792467</v>
      </c>
    </row>
    <row r="197" spans="2:3">
      <c r="B197" s="6">
        <v>14</v>
      </c>
      <c r="C197" s="8">
        <f t="shared" si="2"/>
        <v>-0.12566134685507402</v>
      </c>
    </row>
    <row r="198" spans="2:3">
      <c r="B198" s="6">
        <v>15</v>
      </c>
      <c r="C198" s="8">
        <f t="shared" si="2"/>
        <v>-4.178929781645381E-2</v>
      </c>
    </row>
    <row r="199" spans="2:3">
      <c r="B199" s="6">
        <v>16</v>
      </c>
      <c r="C199" s="8">
        <f t="shared" si="2"/>
        <v>4.1789297816453949E-2</v>
      </c>
    </row>
    <row r="200" spans="2:3">
      <c r="B200" s="6">
        <v>17</v>
      </c>
      <c r="C200" s="8">
        <f t="shared" si="2"/>
        <v>0.12566134685507416</v>
      </c>
    </row>
    <row r="201" spans="2:3">
      <c r="B201" s="6">
        <v>18</v>
      </c>
      <c r="C201" s="8">
        <f t="shared" si="2"/>
        <v>0.21042839424792484</v>
      </c>
    </row>
    <row r="202" spans="2:3">
      <c r="B202" s="6">
        <v>19</v>
      </c>
      <c r="C202" s="8">
        <f t="shared" si="2"/>
        <v>0.29673783825989819</v>
      </c>
    </row>
    <row r="203" spans="2:3">
      <c r="B203" s="6">
        <v>20</v>
      </c>
      <c r="C203" s="8">
        <f t="shared" si="2"/>
        <v>0.38532046640756784</v>
      </c>
    </row>
    <row r="204" spans="2:3">
      <c r="B204" s="6">
        <v>21</v>
      </c>
      <c r="C204" s="8">
        <f t="shared" si="2"/>
        <v>0.47704042848944361</v>
      </c>
    </row>
    <row r="205" spans="2:3">
      <c r="B205" s="6">
        <v>22</v>
      </c>
      <c r="C205" s="8">
        <f t="shared" si="2"/>
        <v>0.57296754849546372</v>
      </c>
    </row>
    <row r="206" spans="2:3">
      <c r="B206" s="6">
        <v>23</v>
      </c>
      <c r="C206" s="8">
        <f t="shared" si="2"/>
        <v>0.67448975019608193</v>
      </c>
    </row>
    <row r="207" spans="2:3">
      <c r="B207" s="6">
        <v>24</v>
      </c>
      <c r="C207" s="8">
        <f t="shared" si="2"/>
        <v>0.78350037538977446</v>
      </c>
    </row>
    <row r="208" spans="2:3">
      <c r="B208" s="6">
        <v>25</v>
      </c>
      <c r="C208" s="8">
        <f t="shared" si="2"/>
        <v>0.90273479164386372</v>
      </c>
    </row>
    <row r="209" spans="1:13">
      <c r="B209" s="6">
        <v>26</v>
      </c>
      <c r="C209" s="8">
        <f t="shared" si="2"/>
        <v>1.0364333894937898</v>
      </c>
    </row>
    <row r="210" spans="1:13">
      <c r="B210" s="6">
        <v>27</v>
      </c>
      <c r="C210" s="8">
        <f t="shared" si="2"/>
        <v>1.1918161716813944</v>
      </c>
    </row>
    <row r="211" spans="1:13">
      <c r="B211" s="6">
        <v>28</v>
      </c>
      <c r="C211" s="8">
        <f t="shared" si="2"/>
        <v>1.3829941271006372</v>
      </c>
    </row>
    <row r="212" spans="1:13">
      <c r="B212" s="6">
        <v>29</v>
      </c>
      <c r="C212" s="8">
        <f t="shared" si="2"/>
        <v>1.6448536269514715</v>
      </c>
    </row>
    <row r="213" spans="1:13">
      <c r="B213" s="6">
        <v>30</v>
      </c>
      <c r="C213" s="8">
        <f t="shared" si="2"/>
        <v>2.128045234184984</v>
      </c>
    </row>
    <row r="217" spans="1:13">
      <c r="A217" s="16" t="s">
        <v>578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20" spans="1:13">
      <c r="B220" s="6" t="s">
        <v>560</v>
      </c>
      <c r="C220" s="109" t="s">
        <v>579</v>
      </c>
      <c r="D220" s="2"/>
      <c r="E220" s="2"/>
      <c r="F220" s="2"/>
      <c r="G220" s="2"/>
      <c r="H220" s="2"/>
      <c r="I220" s="2"/>
    </row>
    <row r="221" spans="1:13">
      <c r="C221" s="109" t="s">
        <v>581</v>
      </c>
      <c r="D221" s="2"/>
      <c r="E221" s="2"/>
      <c r="F221" s="2"/>
      <c r="G221" s="2"/>
      <c r="H221" s="2"/>
      <c r="I221" s="2"/>
    </row>
    <row r="222" spans="1:13">
      <c r="C222" s="2" t="s">
        <v>580</v>
      </c>
      <c r="D222" s="2"/>
      <c r="E222" s="2"/>
      <c r="F222" s="2"/>
      <c r="G222" s="2"/>
      <c r="H222" s="2"/>
      <c r="I222" s="2"/>
    </row>
    <row r="223" spans="1:13">
      <c r="C223" s="109" t="s">
        <v>582</v>
      </c>
      <c r="D223" s="2"/>
      <c r="E223" s="2"/>
      <c r="F223" s="2"/>
      <c r="G223" s="2"/>
      <c r="H223" s="2"/>
      <c r="I223" s="2"/>
    </row>
    <row r="224" spans="1:13">
      <c r="C224" s="2" t="s">
        <v>583</v>
      </c>
      <c r="D224" s="2"/>
      <c r="E224" s="2"/>
      <c r="F224" s="2"/>
      <c r="G224" s="2"/>
      <c r="H224" s="2"/>
      <c r="I224" s="2"/>
    </row>
    <row r="225" spans="2:9">
      <c r="C225" s="109" t="s">
        <v>584</v>
      </c>
      <c r="D225" s="2"/>
      <c r="E225" s="2"/>
      <c r="F225" s="2"/>
      <c r="G225" s="2"/>
      <c r="H225" s="2"/>
      <c r="I225" s="2"/>
    </row>
    <row r="226" spans="2:9">
      <c r="C226" s="2" t="s">
        <v>585</v>
      </c>
      <c r="D226" s="2"/>
      <c r="E226" s="2"/>
      <c r="F226" s="2"/>
      <c r="G226" s="2"/>
      <c r="H226" s="2"/>
      <c r="I226" s="2"/>
    </row>
    <row r="227" spans="2:9">
      <c r="C227" s="2"/>
      <c r="D227" s="2"/>
      <c r="E227" s="2"/>
      <c r="F227" s="2"/>
      <c r="G227" s="2"/>
      <c r="H227" s="2"/>
      <c r="I227" s="2"/>
    </row>
    <row r="229" spans="2:9">
      <c r="B229" s="155"/>
      <c r="C229" s="155"/>
      <c r="D229" s="155"/>
      <c r="E229" s="155"/>
      <c r="F229" s="155"/>
      <c r="G229" s="155"/>
      <c r="H229" s="155"/>
      <c r="I229" s="155"/>
    </row>
    <row r="230" spans="2:9">
      <c r="B230" s="155"/>
      <c r="C230" s="155"/>
      <c r="D230" s="155"/>
      <c r="E230" s="155"/>
      <c r="F230" s="155"/>
      <c r="G230" s="155"/>
      <c r="H230" s="155"/>
      <c r="I230" s="155"/>
    </row>
    <row r="231" spans="2:9">
      <c r="B231" s="155"/>
      <c r="C231" s="155"/>
      <c r="D231" s="155"/>
      <c r="E231" s="155"/>
      <c r="F231" s="155"/>
      <c r="G231" s="155"/>
      <c r="H231" s="155"/>
      <c r="I231" s="155"/>
    </row>
    <row r="232" spans="2:9">
      <c r="B232" s="155"/>
      <c r="C232" s="155"/>
      <c r="D232" s="155"/>
      <c r="E232" s="155"/>
      <c r="F232" s="155"/>
      <c r="G232" s="155"/>
      <c r="H232" s="155"/>
      <c r="I232" s="155"/>
    </row>
    <row r="233" spans="2:9">
      <c r="B233" s="155"/>
      <c r="C233" s="155"/>
      <c r="D233" s="155"/>
      <c r="E233" s="155"/>
      <c r="F233" s="155"/>
      <c r="G233" s="155"/>
      <c r="H233" s="155"/>
      <c r="I233" s="155"/>
    </row>
    <row r="234" spans="2:9">
      <c r="B234" s="155"/>
      <c r="C234" s="155"/>
      <c r="D234" s="155"/>
      <c r="E234" s="155"/>
      <c r="F234" s="155"/>
      <c r="G234" s="155"/>
      <c r="H234" s="155"/>
      <c r="I234" s="155"/>
    </row>
    <row r="235" spans="2:9">
      <c r="B235" s="155"/>
      <c r="C235" s="155"/>
      <c r="D235" s="155"/>
      <c r="E235" s="155"/>
      <c r="F235" s="155"/>
      <c r="G235" s="155"/>
      <c r="H235" s="155"/>
      <c r="I235" s="155"/>
    </row>
    <row r="236" spans="2:9">
      <c r="B236" s="155"/>
      <c r="C236" s="155"/>
      <c r="D236" s="155"/>
      <c r="E236" s="155"/>
      <c r="F236" s="155"/>
      <c r="G236" s="155"/>
      <c r="H236" s="155"/>
      <c r="I236" s="155"/>
    </row>
    <row r="237" spans="2:9">
      <c r="B237" s="155"/>
      <c r="C237" s="155"/>
      <c r="D237" s="155"/>
      <c r="E237" s="155"/>
      <c r="F237" s="155"/>
      <c r="G237" s="155"/>
      <c r="H237" s="155"/>
      <c r="I237" s="155"/>
    </row>
    <row r="238" spans="2:9">
      <c r="B238" s="155"/>
      <c r="C238" s="155"/>
      <c r="D238" s="155"/>
      <c r="E238" s="155" t="s">
        <v>520</v>
      </c>
      <c r="F238" s="155"/>
      <c r="G238" s="155"/>
      <c r="H238" s="155"/>
      <c r="I238" s="155"/>
    </row>
    <row r="239" spans="2:9">
      <c r="B239" s="155"/>
      <c r="C239" s="155"/>
      <c r="D239" s="155"/>
      <c r="E239" s="155"/>
      <c r="F239" s="155"/>
      <c r="G239" s="155"/>
      <c r="H239" s="155"/>
      <c r="I239" s="155"/>
    </row>
    <row r="240" spans="2:9">
      <c r="B240" s="155"/>
      <c r="C240" s="155"/>
      <c r="D240" s="155"/>
      <c r="E240" s="155"/>
      <c r="F240" s="155"/>
      <c r="G240" s="155"/>
      <c r="H240" s="155"/>
      <c r="I240" s="155"/>
    </row>
    <row r="241" spans="1:13">
      <c r="B241" s="155"/>
      <c r="C241" s="155"/>
      <c r="D241" s="155"/>
      <c r="E241" s="155"/>
      <c r="F241" s="155"/>
      <c r="G241" s="155"/>
      <c r="H241" s="155"/>
      <c r="I241" s="155"/>
    </row>
    <row r="242" spans="1:13">
      <c r="B242" s="155"/>
      <c r="C242" s="155"/>
      <c r="D242" s="155"/>
      <c r="E242" s="155"/>
      <c r="F242" s="155"/>
      <c r="G242" s="155"/>
      <c r="H242" s="155"/>
      <c r="I242" s="155"/>
    </row>
    <row r="243" spans="1:13">
      <c r="B243" s="155"/>
      <c r="C243" s="155"/>
      <c r="D243" s="155"/>
      <c r="E243" s="155"/>
      <c r="F243" s="155"/>
      <c r="G243" s="155"/>
      <c r="H243" s="155"/>
      <c r="I243" s="155"/>
    </row>
    <row r="244" spans="1:13">
      <c r="B244" s="155"/>
      <c r="C244" s="155"/>
      <c r="D244" s="155"/>
      <c r="E244" s="155"/>
      <c r="F244" s="155"/>
      <c r="G244" s="155"/>
      <c r="H244" s="155"/>
      <c r="I244" s="155"/>
    </row>
    <row r="245" spans="1:13">
      <c r="B245" s="155"/>
      <c r="C245" s="155"/>
      <c r="D245" s="155"/>
      <c r="E245" s="155"/>
      <c r="F245" s="155"/>
      <c r="G245" s="155"/>
      <c r="H245" s="155"/>
      <c r="I245" s="155"/>
    </row>
    <row r="246" spans="1:13">
      <c r="B246" s="155"/>
      <c r="C246" s="155"/>
      <c r="D246" s="155"/>
      <c r="E246" s="155"/>
      <c r="F246" s="155"/>
      <c r="G246" s="155"/>
      <c r="H246" s="155"/>
      <c r="I246" s="155"/>
    </row>
    <row r="247" spans="1:13">
      <c r="B247" s="155"/>
      <c r="C247" s="155"/>
      <c r="D247" s="155"/>
      <c r="E247" s="155"/>
      <c r="F247" s="155"/>
      <c r="G247" s="155"/>
      <c r="H247" s="155"/>
      <c r="I247" s="155"/>
    </row>
    <row r="248" spans="1:13">
      <c r="B248" s="155"/>
      <c r="C248" s="155"/>
      <c r="D248" s="155"/>
      <c r="E248" s="155"/>
      <c r="F248" s="155"/>
      <c r="G248" s="155"/>
      <c r="H248" s="155"/>
      <c r="I248" s="155"/>
    </row>
    <row r="252" spans="1:13">
      <c r="A252" s="17" t="s">
        <v>595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5" spans="1:13">
      <c r="B255" s="6" t="s">
        <v>539</v>
      </c>
      <c r="C255">
        <f>CORREL(C184:C213,C98:C127)</f>
        <v>0.95986422692657269</v>
      </c>
    </row>
    <row r="257" spans="2:9">
      <c r="B257" s="6" t="s">
        <v>596</v>
      </c>
      <c r="C257" s="8" t="s">
        <v>597</v>
      </c>
      <c r="D257" s="8"/>
      <c r="E257" s="8"/>
      <c r="F257" s="8"/>
      <c r="G257" s="8"/>
      <c r="H257" s="8"/>
      <c r="I257" s="8"/>
    </row>
    <row r="258" spans="2:9">
      <c r="C258" s="8" t="s">
        <v>598</v>
      </c>
      <c r="D258" s="8"/>
      <c r="E258" s="8"/>
      <c r="F258" s="8"/>
      <c r="G258" s="8"/>
      <c r="H258" s="8"/>
      <c r="I258" s="8"/>
    </row>
    <row r="259" spans="2:9">
      <c r="C259" s="101" t="s">
        <v>601</v>
      </c>
      <c r="D259" s="8"/>
      <c r="E259" s="8"/>
      <c r="F259" s="8"/>
      <c r="G259" s="8"/>
      <c r="H259" s="8"/>
      <c r="I259" s="8"/>
    </row>
    <row r="260" spans="2:9">
      <c r="C260" s="101"/>
      <c r="D260" s="8"/>
      <c r="E260" s="8"/>
      <c r="F260" s="8"/>
      <c r="G260" s="8"/>
      <c r="H260" s="8"/>
      <c r="I260" s="8"/>
    </row>
    <row r="262" spans="2:9">
      <c r="C262" s="155"/>
      <c r="D262" s="155"/>
      <c r="E262" s="155"/>
      <c r="F262" s="155"/>
      <c r="G262" s="155"/>
      <c r="H262" s="155"/>
      <c r="I262" s="155"/>
    </row>
    <row r="263" spans="2:9">
      <c r="C263" s="155"/>
      <c r="D263" s="155"/>
      <c r="E263" s="155"/>
      <c r="F263" s="155"/>
      <c r="G263" s="155"/>
      <c r="H263" s="155"/>
      <c r="I263" s="155"/>
    </row>
    <row r="264" spans="2:9">
      <c r="C264" s="155"/>
      <c r="D264" s="155"/>
      <c r="E264" s="155"/>
      <c r="F264" s="155"/>
      <c r="G264" s="155"/>
      <c r="H264" s="155"/>
      <c r="I264" s="155"/>
    </row>
    <row r="265" spans="2:9">
      <c r="C265" s="155"/>
      <c r="D265" s="155"/>
      <c r="E265" s="155"/>
      <c r="F265" s="155"/>
      <c r="G265" s="155"/>
      <c r="H265" s="155"/>
      <c r="I265" s="155"/>
    </row>
    <row r="266" spans="2:9">
      <c r="C266" s="155"/>
      <c r="D266" s="155"/>
      <c r="E266" s="155"/>
      <c r="F266" s="155"/>
      <c r="G266" s="155"/>
      <c r="H266" s="155"/>
      <c r="I266" s="155"/>
    </row>
    <row r="267" spans="2:9">
      <c r="C267" s="155"/>
      <c r="D267" s="155"/>
      <c r="E267" s="155"/>
      <c r="F267" s="155"/>
      <c r="G267" s="155"/>
      <c r="H267" s="155"/>
      <c r="I267" s="155"/>
    </row>
    <row r="268" spans="2:9">
      <c r="C268" s="155"/>
      <c r="D268" s="155"/>
      <c r="E268" s="155"/>
      <c r="F268" s="155"/>
      <c r="G268" s="155"/>
      <c r="H268" s="155"/>
      <c r="I268" s="155"/>
    </row>
    <row r="269" spans="2:9">
      <c r="C269" s="155"/>
      <c r="D269" s="155"/>
      <c r="E269" s="155"/>
      <c r="F269" s="155"/>
      <c r="G269" s="155"/>
      <c r="H269" s="155"/>
      <c r="I269" s="155"/>
    </row>
    <row r="270" spans="2:9">
      <c r="C270" s="155"/>
      <c r="D270" s="155"/>
      <c r="E270" s="155"/>
      <c r="F270" s="155"/>
      <c r="G270" s="155"/>
      <c r="H270" s="155"/>
      <c r="I270" s="155"/>
    </row>
    <row r="271" spans="2:9">
      <c r="C271" s="155"/>
      <c r="D271" s="155"/>
      <c r="E271" s="155"/>
      <c r="F271" s="155"/>
      <c r="G271" s="155"/>
      <c r="H271" s="155"/>
      <c r="I271" s="155"/>
    </row>
    <row r="272" spans="2:9">
      <c r="C272" s="155"/>
      <c r="D272" s="155"/>
      <c r="E272" s="155"/>
      <c r="F272" s="155"/>
      <c r="G272" s="155"/>
      <c r="H272" s="155"/>
      <c r="I272" s="155"/>
    </row>
    <row r="273" spans="1:13">
      <c r="C273" s="155"/>
      <c r="D273" s="155"/>
      <c r="E273" s="155"/>
      <c r="F273" s="155"/>
      <c r="G273" s="155"/>
      <c r="H273" s="155"/>
      <c r="I273" s="155"/>
    </row>
    <row r="274" spans="1:13">
      <c r="C274" s="155"/>
      <c r="D274" s="155"/>
      <c r="E274" s="155"/>
      <c r="F274" s="155"/>
      <c r="G274" s="155"/>
      <c r="H274" s="155"/>
      <c r="I274" s="155"/>
    </row>
    <row r="275" spans="1:13">
      <c r="C275" s="155"/>
      <c r="D275" s="155"/>
      <c r="E275" s="155"/>
      <c r="F275" s="155"/>
      <c r="G275" s="155"/>
      <c r="H275" s="155"/>
      <c r="I275" s="155"/>
    </row>
    <row r="276" spans="1:13">
      <c r="C276" s="155"/>
      <c r="D276" s="155"/>
      <c r="E276" s="155"/>
      <c r="F276" s="155"/>
      <c r="G276" s="155"/>
      <c r="H276" s="155"/>
      <c r="I276" s="155"/>
    </row>
    <row r="277" spans="1:13">
      <c r="C277" s="155"/>
      <c r="D277" s="155"/>
      <c r="E277" s="155"/>
      <c r="F277" s="155"/>
      <c r="G277" s="155"/>
      <c r="H277" s="155"/>
      <c r="I277" s="155"/>
    </row>
    <row r="278" spans="1:13">
      <c r="C278" s="155"/>
      <c r="D278" s="155"/>
      <c r="E278" s="155"/>
      <c r="F278" s="155"/>
      <c r="G278" s="155"/>
      <c r="H278" s="155"/>
      <c r="I278" s="155"/>
    </row>
    <row r="279" spans="1:13">
      <c r="C279" s="155"/>
      <c r="D279" s="155"/>
      <c r="E279" s="155"/>
      <c r="F279" s="155"/>
      <c r="G279" s="155"/>
      <c r="H279" s="155"/>
      <c r="I279" s="155"/>
    </row>
    <row r="280" spans="1:13">
      <c r="C280" s="155"/>
      <c r="D280" s="155"/>
      <c r="E280" s="155"/>
      <c r="F280" s="155"/>
      <c r="G280" s="155"/>
      <c r="H280" s="155"/>
      <c r="I280" s="155"/>
    </row>
    <row r="281" spans="1:13">
      <c r="C281" s="155"/>
      <c r="D281" s="155"/>
      <c r="E281" s="155"/>
      <c r="F281" s="155"/>
      <c r="G281" s="155"/>
      <c r="H281" s="155"/>
      <c r="I281" s="155"/>
    </row>
    <row r="282" spans="1:13">
      <c r="C282" s="155"/>
      <c r="D282" s="155"/>
      <c r="E282" s="155"/>
      <c r="F282" s="155"/>
      <c r="G282" s="155"/>
      <c r="H282" s="155"/>
      <c r="I282" s="155"/>
    </row>
    <row r="283" spans="1:13">
      <c r="C283" s="155"/>
      <c r="D283" s="155"/>
      <c r="E283" s="155"/>
      <c r="F283" s="155"/>
      <c r="G283" s="155"/>
      <c r="H283" s="155"/>
      <c r="I283" s="155"/>
    </row>
    <row r="284" spans="1:13">
      <c r="C284" s="155"/>
      <c r="D284" s="155"/>
      <c r="E284" s="155"/>
      <c r="F284" s="155"/>
      <c r="G284" s="155"/>
      <c r="H284" s="155"/>
      <c r="I284" s="155"/>
    </row>
    <row r="285" spans="1:13">
      <c r="C285" s="155"/>
      <c r="D285" s="155"/>
      <c r="E285" s="155"/>
      <c r="F285" s="155"/>
      <c r="G285" s="155"/>
      <c r="H285" s="155"/>
      <c r="I285" s="155"/>
    </row>
    <row r="288" spans="1:13">
      <c r="A288" s="17" t="s">
        <v>599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</row>
    <row r="291" spans="2:9">
      <c r="B291" s="6" t="s">
        <v>600</v>
      </c>
      <c r="C291" s="8">
        <f>CORREL(C184:C212,C98:C126)</f>
        <v>0.99113295561399961</v>
      </c>
    </row>
    <row r="293" spans="2:9">
      <c r="B293" s="6" t="s">
        <v>596</v>
      </c>
      <c r="C293" s="8" t="s">
        <v>602</v>
      </c>
      <c r="D293" s="8"/>
      <c r="E293" s="8"/>
      <c r="F293" s="8"/>
      <c r="G293" s="8"/>
      <c r="H293" s="8"/>
      <c r="I293" s="8"/>
    </row>
    <row r="294" spans="2:9">
      <c r="C294" s="8" t="s">
        <v>603</v>
      </c>
      <c r="D294" s="8"/>
      <c r="E294" s="8"/>
      <c r="F294" s="8"/>
      <c r="G294" s="8"/>
      <c r="H294" s="8"/>
      <c r="I294" s="8"/>
    </row>
    <row r="295" spans="2:9">
      <c r="C295" s="8" t="s">
        <v>604</v>
      </c>
      <c r="D295" s="8"/>
      <c r="E295" s="8"/>
      <c r="F295" s="8"/>
      <c r="G295" s="8"/>
      <c r="H295" s="8"/>
      <c r="I295" s="8"/>
    </row>
    <row r="296" spans="2:9">
      <c r="C296" s="8"/>
      <c r="D296" s="8"/>
      <c r="E296" s="8"/>
      <c r="F296" s="8"/>
      <c r="G296" s="8"/>
      <c r="H296" s="8"/>
      <c r="I296" s="8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380"/>
  <sheetViews>
    <sheetView zoomScaleNormal="100" workbookViewId="0">
      <selection activeCell="D7" sqref="D7"/>
    </sheetView>
  </sheetViews>
  <sheetFormatPr baseColWidth="10" defaultRowHeight="12.75"/>
  <cols>
    <col min="2" max="2" width="12.7109375" customWidth="1"/>
    <col min="3" max="3" width="13" customWidth="1"/>
    <col min="4" max="6" width="13" bestFit="1" customWidth="1"/>
    <col min="9" max="9" width="18.28515625" customWidth="1"/>
    <col min="10" max="12" width="13" bestFit="1" customWidth="1"/>
  </cols>
  <sheetData>
    <row r="1" spans="1:53" s="10" customFormat="1" ht="20.25">
      <c r="A1" s="10" t="s">
        <v>605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606</v>
      </c>
    </row>
    <row r="8" spans="1:53">
      <c r="A8" t="s">
        <v>607</v>
      </c>
    </row>
    <row r="9" spans="1:53">
      <c r="A9" t="s">
        <v>608</v>
      </c>
    </row>
    <row r="10" spans="1:53">
      <c r="A10" t="s">
        <v>609</v>
      </c>
    </row>
    <row r="11" spans="1:53">
      <c r="A11" t="s">
        <v>610</v>
      </c>
    </row>
    <row r="14" spans="1:53">
      <c r="B14" s="6" t="s">
        <v>385</v>
      </c>
      <c r="C14" s="6" t="s">
        <v>533</v>
      </c>
      <c r="D14" s="6" t="s">
        <v>534</v>
      </c>
      <c r="E14" s="6" t="s">
        <v>611</v>
      </c>
      <c r="F14" s="6" t="s">
        <v>612</v>
      </c>
    </row>
    <row r="15" spans="1:53">
      <c r="B15" s="6">
        <v>1</v>
      </c>
      <c r="C15" s="2">
        <v>1889</v>
      </c>
      <c r="D15" s="2">
        <v>1651</v>
      </c>
      <c r="E15" s="2">
        <v>1561</v>
      </c>
      <c r="F15" s="2">
        <v>1778</v>
      </c>
    </row>
    <row r="16" spans="1:53">
      <c r="B16" s="6">
        <f>B15+1</f>
        <v>2</v>
      </c>
      <c r="C16" s="2">
        <v>2403</v>
      </c>
      <c r="D16" s="2">
        <v>2048</v>
      </c>
      <c r="E16" s="2">
        <v>2087</v>
      </c>
      <c r="F16" s="2">
        <v>2197</v>
      </c>
    </row>
    <row r="17" spans="2:6">
      <c r="B17" s="6">
        <f t="shared" ref="B17:B44" si="0">B16+1</f>
        <v>3</v>
      </c>
      <c r="C17" s="2">
        <v>2119</v>
      </c>
      <c r="D17" s="2">
        <v>1700</v>
      </c>
      <c r="E17" s="2">
        <v>1815</v>
      </c>
      <c r="F17" s="2">
        <v>2222</v>
      </c>
    </row>
    <row r="18" spans="2:6">
      <c r="B18" s="6">
        <f t="shared" si="0"/>
        <v>4</v>
      </c>
      <c r="C18" s="2">
        <v>1645</v>
      </c>
      <c r="D18" s="2">
        <v>1627</v>
      </c>
      <c r="E18" s="2">
        <v>1110</v>
      </c>
      <c r="F18" s="2">
        <v>1533</v>
      </c>
    </row>
    <row r="19" spans="2:6">
      <c r="B19" s="6">
        <f t="shared" si="0"/>
        <v>5</v>
      </c>
      <c r="C19" s="2">
        <v>1976</v>
      </c>
      <c r="D19" s="2">
        <v>1916</v>
      </c>
      <c r="E19" s="2">
        <v>1614</v>
      </c>
      <c r="F19" s="2">
        <v>1883</v>
      </c>
    </row>
    <row r="20" spans="2:6">
      <c r="B20" s="6">
        <f t="shared" si="0"/>
        <v>6</v>
      </c>
      <c r="C20" s="2">
        <v>1712</v>
      </c>
      <c r="D20" s="2">
        <v>1712</v>
      </c>
      <c r="E20" s="2">
        <v>1439</v>
      </c>
      <c r="F20" s="2">
        <v>1546</v>
      </c>
    </row>
    <row r="21" spans="2:6">
      <c r="B21" s="6">
        <f t="shared" si="0"/>
        <v>7</v>
      </c>
      <c r="C21" s="2">
        <v>1943</v>
      </c>
      <c r="D21" s="2">
        <v>1685</v>
      </c>
      <c r="E21" s="2">
        <v>1271</v>
      </c>
      <c r="F21" s="2">
        <v>1671</v>
      </c>
    </row>
    <row r="22" spans="2:6">
      <c r="B22" s="6">
        <f t="shared" si="0"/>
        <v>8</v>
      </c>
      <c r="C22" s="2">
        <v>2104</v>
      </c>
      <c r="D22" s="2">
        <v>1820</v>
      </c>
      <c r="E22" s="2">
        <v>1717</v>
      </c>
      <c r="F22" s="2">
        <v>1874</v>
      </c>
    </row>
    <row r="23" spans="2:6">
      <c r="B23" s="6">
        <f t="shared" si="0"/>
        <v>9</v>
      </c>
      <c r="C23" s="2">
        <v>2983</v>
      </c>
      <c r="D23" s="2">
        <v>2794</v>
      </c>
      <c r="E23" s="2">
        <v>2412</v>
      </c>
      <c r="F23" s="2">
        <v>2581</v>
      </c>
    </row>
    <row r="24" spans="2:6">
      <c r="B24" s="6">
        <f t="shared" si="0"/>
        <v>10</v>
      </c>
      <c r="C24" s="2">
        <v>1745</v>
      </c>
      <c r="D24" s="2">
        <v>1600</v>
      </c>
      <c r="E24" s="2">
        <v>1384</v>
      </c>
      <c r="F24" s="2">
        <v>1508</v>
      </c>
    </row>
    <row r="25" spans="2:6">
      <c r="B25" s="6">
        <f t="shared" si="0"/>
        <v>11</v>
      </c>
      <c r="C25" s="2">
        <v>1710</v>
      </c>
      <c r="D25" s="2">
        <v>1591</v>
      </c>
      <c r="E25" s="2">
        <v>1518</v>
      </c>
      <c r="F25" s="2">
        <v>1667</v>
      </c>
    </row>
    <row r="26" spans="2:6">
      <c r="B26" s="6">
        <f t="shared" si="0"/>
        <v>12</v>
      </c>
      <c r="C26" s="2">
        <v>2046</v>
      </c>
      <c r="D26" s="2">
        <v>1907</v>
      </c>
      <c r="E26" s="2">
        <v>1627</v>
      </c>
      <c r="F26" s="2">
        <v>1898</v>
      </c>
    </row>
    <row r="27" spans="2:6">
      <c r="B27" s="6">
        <f t="shared" si="0"/>
        <v>13</v>
      </c>
      <c r="C27" s="2">
        <v>1840</v>
      </c>
      <c r="D27" s="2">
        <v>1841</v>
      </c>
      <c r="E27" s="2">
        <v>1595</v>
      </c>
      <c r="F27" s="2">
        <v>1741</v>
      </c>
    </row>
    <row r="28" spans="2:6">
      <c r="B28" s="6">
        <f t="shared" si="0"/>
        <v>14</v>
      </c>
      <c r="C28" s="2">
        <v>1867</v>
      </c>
      <c r="D28" s="2">
        <v>1685</v>
      </c>
      <c r="E28" s="2">
        <v>1493</v>
      </c>
      <c r="F28" s="2">
        <v>1678</v>
      </c>
    </row>
    <row r="29" spans="2:6">
      <c r="B29" s="6">
        <f t="shared" si="0"/>
        <v>15</v>
      </c>
      <c r="C29" s="2">
        <v>1859</v>
      </c>
      <c r="D29" s="2">
        <v>1649</v>
      </c>
      <c r="E29" s="2">
        <v>1389</v>
      </c>
      <c r="F29" s="2">
        <v>1714</v>
      </c>
    </row>
    <row r="30" spans="2:6">
      <c r="B30" s="6">
        <f t="shared" si="0"/>
        <v>16</v>
      </c>
      <c r="C30" s="2">
        <v>1954</v>
      </c>
      <c r="D30" s="2">
        <v>2149</v>
      </c>
      <c r="E30" s="2">
        <v>1180</v>
      </c>
      <c r="F30" s="2">
        <v>1281</v>
      </c>
    </row>
    <row r="31" spans="2:6">
      <c r="B31" s="6">
        <f t="shared" si="0"/>
        <v>17</v>
      </c>
      <c r="C31" s="2">
        <v>1325</v>
      </c>
      <c r="D31" s="2">
        <v>1170</v>
      </c>
      <c r="E31" s="2">
        <v>1002</v>
      </c>
      <c r="F31" s="2">
        <v>1176</v>
      </c>
    </row>
    <row r="32" spans="2:6">
      <c r="B32" s="6">
        <f t="shared" si="0"/>
        <v>18</v>
      </c>
      <c r="C32" s="2">
        <v>1419</v>
      </c>
      <c r="D32" s="2">
        <v>1371</v>
      </c>
      <c r="E32" s="2">
        <v>1252</v>
      </c>
      <c r="F32" s="2">
        <v>1308</v>
      </c>
    </row>
    <row r="33" spans="1:13">
      <c r="B33" s="6">
        <f t="shared" si="0"/>
        <v>19</v>
      </c>
      <c r="C33" s="2">
        <v>1828</v>
      </c>
      <c r="D33" s="2">
        <v>1634</v>
      </c>
      <c r="E33" s="2">
        <v>1602</v>
      </c>
      <c r="F33" s="2">
        <v>1755</v>
      </c>
    </row>
    <row r="34" spans="1:13">
      <c r="B34" s="6">
        <f t="shared" si="0"/>
        <v>20</v>
      </c>
      <c r="C34" s="2">
        <v>1725</v>
      </c>
      <c r="D34" s="2">
        <v>1594</v>
      </c>
      <c r="E34" s="2">
        <v>1313</v>
      </c>
      <c r="F34" s="2">
        <v>1646</v>
      </c>
    </row>
    <row r="35" spans="1:13">
      <c r="B35" s="6">
        <f t="shared" si="0"/>
        <v>21</v>
      </c>
      <c r="C35" s="2">
        <v>2276</v>
      </c>
      <c r="D35" s="2">
        <v>2189</v>
      </c>
      <c r="E35" s="2">
        <v>1547</v>
      </c>
      <c r="F35" s="2">
        <v>2111</v>
      </c>
    </row>
    <row r="36" spans="1:13">
      <c r="B36" s="6">
        <f t="shared" si="0"/>
        <v>22</v>
      </c>
      <c r="C36" s="2">
        <v>1899</v>
      </c>
      <c r="D36" s="2">
        <v>1614</v>
      </c>
      <c r="E36" s="2">
        <v>1422</v>
      </c>
      <c r="F36" s="2">
        <v>1477</v>
      </c>
    </row>
    <row r="37" spans="1:13">
      <c r="B37" s="6">
        <f t="shared" si="0"/>
        <v>23</v>
      </c>
      <c r="C37" s="2">
        <v>1633</v>
      </c>
      <c r="D37" s="2">
        <v>1513</v>
      </c>
      <c r="E37" s="2">
        <v>1290</v>
      </c>
      <c r="F37" s="2">
        <v>1516</v>
      </c>
    </row>
    <row r="38" spans="1:13">
      <c r="B38" s="6">
        <f t="shared" si="0"/>
        <v>24</v>
      </c>
      <c r="C38" s="2">
        <v>2061</v>
      </c>
      <c r="D38" s="2">
        <v>1867</v>
      </c>
      <c r="E38" s="2">
        <v>1646</v>
      </c>
      <c r="F38" s="2">
        <v>2037</v>
      </c>
    </row>
    <row r="39" spans="1:13">
      <c r="B39" s="6">
        <f t="shared" si="0"/>
        <v>25</v>
      </c>
      <c r="C39" s="2">
        <v>1856</v>
      </c>
      <c r="D39" s="2">
        <v>1493</v>
      </c>
      <c r="E39" s="2">
        <v>1356</v>
      </c>
      <c r="F39" s="2">
        <v>1533</v>
      </c>
    </row>
    <row r="40" spans="1:13">
      <c r="B40" s="6">
        <f t="shared" si="0"/>
        <v>26</v>
      </c>
      <c r="C40" s="2">
        <v>1727</v>
      </c>
      <c r="D40" s="2">
        <v>1412</v>
      </c>
      <c r="E40" s="2">
        <v>1238</v>
      </c>
      <c r="F40" s="2">
        <v>1469</v>
      </c>
    </row>
    <row r="41" spans="1:13">
      <c r="B41" s="6">
        <f t="shared" si="0"/>
        <v>27</v>
      </c>
      <c r="C41" s="2">
        <v>2168</v>
      </c>
      <c r="D41" s="2">
        <v>1896</v>
      </c>
      <c r="E41" s="2">
        <v>1701</v>
      </c>
      <c r="F41" s="2">
        <v>1834</v>
      </c>
    </row>
    <row r="42" spans="1:13">
      <c r="B42" s="6">
        <f t="shared" si="0"/>
        <v>28</v>
      </c>
      <c r="C42" s="2">
        <v>1655</v>
      </c>
      <c r="D42" s="2">
        <v>1675</v>
      </c>
      <c r="E42" s="2">
        <v>1414</v>
      </c>
      <c r="F42" s="2">
        <v>1597</v>
      </c>
    </row>
    <row r="43" spans="1:13">
      <c r="B43" s="6">
        <f t="shared" si="0"/>
        <v>29</v>
      </c>
      <c r="C43" s="2">
        <v>2326</v>
      </c>
      <c r="D43" s="2">
        <v>2301</v>
      </c>
      <c r="E43" s="2">
        <v>2065</v>
      </c>
      <c r="F43" s="2">
        <v>2234</v>
      </c>
    </row>
    <row r="44" spans="1:13">
      <c r="B44" s="6">
        <f t="shared" si="0"/>
        <v>30</v>
      </c>
      <c r="C44" s="2">
        <v>1490</v>
      </c>
      <c r="D44" s="2">
        <v>1382</v>
      </c>
      <c r="E44" s="2">
        <v>1214</v>
      </c>
      <c r="F44" s="2">
        <v>1284</v>
      </c>
    </row>
    <row r="48" spans="1:13" ht="15.75">
      <c r="A48" s="15" t="s">
        <v>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51" spans="1:13">
      <c r="A51" s="17" t="s">
        <v>624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4" spans="1:13">
      <c r="B54" s="6" t="s">
        <v>328</v>
      </c>
      <c r="C54" s="8">
        <f>AVERAGE(C15:C44)</f>
        <v>1906.1</v>
      </c>
      <c r="D54" s="8">
        <f>AVERAGE(D15:D44)</f>
        <v>1749.5333333333333</v>
      </c>
      <c r="E54" s="8">
        <f>AVERAGE(E15:E44)</f>
        <v>1509.1333333333334</v>
      </c>
      <c r="F54" s="8">
        <f>AVERAGE(F15:F44)</f>
        <v>1724.9666666666667</v>
      </c>
    </row>
    <row r="55" spans="1:13">
      <c r="B55" s="6" t="s">
        <v>396</v>
      </c>
      <c r="C55" s="8">
        <f>_xlfn.STDEV.P(C15:C44)</f>
        <v>319.52426616247266</v>
      </c>
      <c r="D55" s="8">
        <f>_xlfn.STDEV.P(D15:D44)</f>
        <v>313.25141482344321</v>
      </c>
      <c r="E55" s="8">
        <f>_xlfn.STDEV.P(E15:E44)</f>
        <v>298.08250908468654</v>
      </c>
      <c r="F55" s="8">
        <f>_xlfn.STDEV.P(F15:F44)</f>
        <v>317.41723155633639</v>
      </c>
    </row>
    <row r="56" spans="1:13">
      <c r="B56" s="6" t="s">
        <v>397</v>
      </c>
      <c r="C56" s="8">
        <f>COUNTA(C15:C44)</f>
        <v>30</v>
      </c>
      <c r="D56" s="8">
        <f>COUNTA(D15:D44)</f>
        <v>30</v>
      </c>
      <c r="E56" s="8">
        <f>COUNTA(E15:E44)</f>
        <v>30</v>
      </c>
      <c r="F56" s="8">
        <f>COUNTA(F15:F44)</f>
        <v>30</v>
      </c>
    </row>
    <row r="60" spans="1:13">
      <c r="A60" s="17" t="s">
        <v>613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3" spans="1:13">
      <c r="B63" s="6" t="s">
        <v>385</v>
      </c>
      <c r="C63" s="6" t="s">
        <v>533</v>
      </c>
      <c r="D63" s="6" t="s">
        <v>534</v>
      </c>
      <c r="E63" s="6" t="s">
        <v>611</v>
      </c>
      <c r="F63" s="6" t="s">
        <v>612</v>
      </c>
    </row>
    <row r="64" spans="1:13">
      <c r="B64" s="6">
        <v>1</v>
      </c>
      <c r="C64" s="8">
        <f t="shared" ref="C64:F93" si="1">(C15-C$54)/C$55</f>
        <v>-5.3517062116668318E-2</v>
      </c>
      <c r="D64" s="8">
        <f t="shared" si="1"/>
        <v>-0.31455032178823294</v>
      </c>
      <c r="E64" s="8">
        <f t="shared" si="1"/>
        <v>0.17400104026879018</v>
      </c>
      <c r="F64" s="8">
        <f t="shared" si="1"/>
        <v>0.16707767588200625</v>
      </c>
    </row>
    <row r="65" spans="2:6">
      <c r="B65" s="6">
        <f>B64+1</f>
        <v>2</v>
      </c>
      <c r="C65" s="8">
        <f t="shared" si="1"/>
        <v>1.5551244541387503</v>
      </c>
      <c r="D65" s="8">
        <f t="shared" si="1"/>
        <v>0.95280229407707673</v>
      </c>
      <c r="E65" s="8">
        <f t="shared" si="1"/>
        <v>1.9386131324548537</v>
      </c>
      <c r="F65" s="8">
        <f t="shared" si="1"/>
        <v>1.4871068310277133</v>
      </c>
    </row>
    <row r="66" spans="2:6">
      <c r="B66" s="6">
        <f t="shared" ref="B66:B93" si="2">B65+1</f>
        <v>3</v>
      </c>
      <c r="C66" s="8">
        <f t="shared" si="1"/>
        <v>0.6663030716163012</v>
      </c>
      <c r="D66" s="8">
        <f t="shared" si="1"/>
        <v>-0.1581264472859655</v>
      </c>
      <c r="E66" s="8">
        <f t="shared" si="1"/>
        <v>1.0261141037959007</v>
      </c>
      <c r="F66" s="8">
        <f t="shared" si="1"/>
        <v>1.5658675204755479</v>
      </c>
    </row>
    <row r="67" spans="2:6">
      <c r="B67" s="6">
        <f t="shared" si="2"/>
        <v>4</v>
      </c>
      <c r="C67" s="8">
        <f t="shared" si="1"/>
        <v>-0.81715233442468815</v>
      </c>
      <c r="D67" s="8">
        <f t="shared" si="1"/>
        <v>-0.39116609705464966</v>
      </c>
      <c r="E67" s="8">
        <f t="shared" si="1"/>
        <v>-1.3390028638679297</v>
      </c>
      <c r="F67" s="8">
        <f t="shared" si="1"/>
        <v>-0.60477708070677239</v>
      </c>
    </row>
    <row r="68" spans="2:6">
      <c r="B68" s="6">
        <f t="shared" si="2"/>
        <v>5</v>
      </c>
      <c r="C68" s="8">
        <f t="shared" si="1"/>
        <v>0.21876272759971579</v>
      </c>
      <c r="D68" s="8">
        <f t="shared" si="1"/>
        <v>0.53141553011178488</v>
      </c>
      <c r="E68" s="8">
        <f t="shared" si="1"/>
        <v>0.3518041598236597</v>
      </c>
      <c r="F68" s="8">
        <f t="shared" si="1"/>
        <v>0.49787257156291137</v>
      </c>
    </row>
    <row r="69" spans="2:6">
      <c r="B69" s="6">
        <f t="shared" si="2"/>
        <v>6</v>
      </c>
      <c r="C69" s="8">
        <f t="shared" si="1"/>
        <v>-0.60746559981551873</v>
      </c>
      <c r="D69" s="8">
        <f t="shared" si="1"/>
        <v>-0.11981855965275715</v>
      </c>
      <c r="E69" s="8">
        <f t="shared" si="1"/>
        <v>-0.23528161229147548</v>
      </c>
      <c r="F69" s="8">
        <f t="shared" si="1"/>
        <v>-0.56382152219389836</v>
      </c>
    </row>
    <row r="70" spans="2:6">
      <c r="B70" s="6">
        <f t="shared" si="2"/>
        <v>7</v>
      </c>
      <c r="C70" s="8">
        <f t="shared" si="1"/>
        <v>0.11548418667281148</v>
      </c>
      <c r="D70" s="8">
        <f t="shared" si="1"/>
        <v>-0.20601130682747593</v>
      </c>
      <c r="E70" s="8">
        <f t="shared" si="1"/>
        <v>-0.79888395352200525</v>
      </c>
      <c r="F70" s="8">
        <f t="shared" si="1"/>
        <v>-0.17001807495472562</v>
      </c>
    </row>
    <row r="71" spans="2:6">
      <c r="B71" s="6">
        <f t="shared" si="2"/>
        <v>8</v>
      </c>
      <c r="C71" s="8">
        <f t="shared" si="1"/>
        <v>0.61935828028589013</v>
      </c>
      <c r="D71" s="8">
        <f t="shared" si="1"/>
        <v>0.22495242904611804</v>
      </c>
      <c r="E71" s="8">
        <f t="shared" si="1"/>
        <v>0.69734607141142502</v>
      </c>
      <c r="F71" s="8">
        <f t="shared" si="1"/>
        <v>0.46951872336169093</v>
      </c>
    </row>
    <row r="72" spans="2:6">
      <c r="B72" s="6">
        <f t="shared" si="2"/>
        <v>9</v>
      </c>
      <c r="C72" s="8">
        <f t="shared" si="1"/>
        <v>3.3703230522479779</v>
      </c>
      <c r="D72" s="8">
        <f t="shared" si="1"/>
        <v>3.3342759752748625</v>
      </c>
      <c r="E72" s="8">
        <f t="shared" si="1"/>
        <v>3.0289152806686763</v>
      </c>
      <c r="F72" s="8">
        <f t="shared" si="1"/>
        <v>2.6968710209464519</v>
      </c>
    </row>
    <row r="73" spans="2:6">
      <c r="B73" s="6">
        <f t="shared" si="2"/>
        <v>10</v>
      </c>
      <c r="C73" s="8">
        <f t="shared" si="1"/>
        <v>-0.50418705888861437</v>
      </c>
      <c r="D73" s="8">
        <f t="shared" si="1"/>
        <v>-0.47735884422936842</v>
      </c>
      <c r="E73" s="8">
        <f t="shared" si="1"/>
        <v>-0.41979428352766085</v>
      </c>
      <c r="F73" s="8">
        <f t="shared" si="1"/>
        <v>-0.68353777015460693</v>
      </c>
    </row>
    <row r="74" spans="2:6">
      <c r="B74" s="6">
        <f t="shared" si="2"/>
        <v>11</v>
      </c>
      <c r="C74" s="8">
        <f t="shared" si="1"/>
        <v>-0.61372490532624024</v>
      </c>
      <c r="D74" s="8">
        <f t="shared" si="1"/>
        <v>-0.50608975995427474</v>
      </c>
      <c r="E74" s="8">
        <f t="shared" si="1"/>
        <v>2.9745679120499829E-2</v>
      </c>
      <c r="F74" s="8">
        <f t="shared" si="1"/>
        <v>-0.18261978526637915</v>
      </c>
    </row>
    <row r="75" spans="2:6">
      <c r="B75" s="6">
        <f t="shared" si="2"/>
        <v>12</v>
      </c>
      <c r="C75" s="8">
        <f t="shared" si="1"/>
        <v>0.43783842047496735</v>
      </c>
      <c r="D75" s="8">
        <f t="shared" si="1"/>
        <v>0.50268461438687861</v>
      </c>
      <c r="E75" s="8">
        <f t="shared" si="1"/>
        <v>0.39541624575221263</v>
      </c>
      <c r="F75" s="8">
        <f t="shared" si="1"/>
        <v>0.54512898523161213</v>
      </c>
    </row>
    <row r="76" spans="2:6">
      <c r="B76" s="6">
        <f t="shared" si="2"/>
        <v>13</v>
      </c>
      <c r="C76" s="8">
        <f t="shared" si="1"/>
        <v>-0.20687004712934443</v>
      </c>
      <c r="D76" s="8">
        <f t="shared" si="1"/>
        <v>0.29199123240423264</v>
      </c>
      <c r="E76" s="8">
        <f t="shared" si="1"/>
        <v>0.28806341885115933</v>
      </c>
      <c r="F76" s="8">
        <f t="shared" si="1"/>
        <v>5.0511855499211132E-2</v>
      </c>
    </row>
    <row r="77" spans="2:6">
      <c r="B77" s="6">
        <f t="shared" si="2"/>
        <v>14</v>
      </c>
      <c r="C77" s="8">
        <f t="shared" si="1"/>
        <v>-0.12236942273460452</v>
      </c>
      <c r="D77" s="8">
        <f t="shared" si="1"/>
        <v>-0.20601130682747593</v>
      </c>
      <c r="E77" s="8">
        <f t="shared" si="1"/>
        <v>-5.4123716895948061E-2</v>
      </c>
      <c r="F77" s="8">
        <f t="shared" si="1"/>
        <v>-0.14796508190933194</v>
      </c>
    </row>
    <row r="78" spans="2:6">
      <c r="B78" s="6">
        <f t="shared" si="2"/>
        <v>15</v>
      </c>
      <c r="C78" s="8">
        <f t="shared" si="1"/>
        <v>-0.14740664477749041</v>
      </c>
      <c r="D78" s="8">
        <f t="shared" si="1"/>
        <v>-0.320934969727101</v>
      </c>
      <c r="E78" s="8">
        <f t="shared" si="1"/>
        <v>-0.40302040432437125</v>
      </c>
      <c r="F78" s="8">
        <f t="shared" si="1"/>
        <v>-3.4549689104450186E-2</v>
      </c>
    </row>
    <row r="79" spans="2:6">
      <c r="B79" s="6">
        <f t="shared" si="2"/>
        <v>16</v>
      </c>
      <c r="C79" s="8">
        <f t="shared" si="1"/>
        <v>0.14991036698177959</v>
      </c>
      <c r="D79" s="8">
        <f t="shared" si="1"/>
        <v>1.2752270149899136</v>
      </c>
      <c r="E79" s="8">
        <f t="shared" si="1"/>
        <v>-1.1041685550218756</v>
      </c>
      <c r="F79" s="8">
        <f t="shared" si="1"/>
        <v>-1.3986848303409447</v>
      </c>
    </row>
    <row r="80" spans="2:6">
      <c r="B80" s="6">
        <f t="shared" si="2"/>
        <v>17</v>
      </c>
      <c r="C80" s="8">
        <f t="shared" si="1"/>
        <v>-1.818641216140124</v>
      </c>
      <c r="D80" s="8">
        <f t="shared" si="1"/>
        <v>-1.850058151086001</v>
      </c>
      <c r="E80" s="8">
        <f t="shared" si="1"/>
        <v>-1.7013186546589845</v>
      </c>
      <c r="F80" s="8">
        <f t="shared" si="1"/>
        <v>-1.7294797260218497</v>
      </c>
    </row>
    <row r="81" spans="2:6">
      <c r="B81" s="6">
        <f t="shared" si="2"/>
        <v>18</v>
      </c>
      <c r="C81" s="8">
        <f t="shared" si="1"/>
        <v>-1.5244538571362147</v>
      </c>
      <c r="D81" s="8">
        <f t="shared" si="1"/>
        <v>-1.2084010332297612</v>
      </c>
      <c r="E81" s="8">
        <f t="shared" si="1"/>
        <v>-0.86262469449450574</v>
      </c>
      <c r="F81" s="8">
        <f t="shared" si="1"/>
        <v>-1.3136232857372834</v>
      </c>
    </row>
    <row r="82" spans="2:6">
      <c r="B82" s="6">
        <f t="shared" si="2"/>
        <v>19</v>
      </c>
      <c r="C82" s="8">
        <f t="shared" si="1"/>
        <v>-0.24442588019367326</v>
      </c>
      <c r="D82" s="8">
        <f t="shared" si="1"/>
        <v>-0.36881982926861145</v>
      </c>
      <c r="E82" s="8">
        <f t="shared" si="1"/>
        <v>0.31154684973576474</v>
      </c>
      <c r="F82" s="8">
        <f t="shared" si="1"/>
        <v>9.4617841589998475E-2</v>
      </c>
    </row>
    <row r="83" spans="2:6">
      <c r="B83" s="6">
        <f t="shared" si="2"/>
        <v>20</v>
      </c>
      <c r="C83" s="8">
        <f t="shared" si="1"/>
        <v>-0.56678011399582917</v>
      </c>
      <c r="D83" s="8">
        <f t="shared" si="1"/>
        <v>-0.4965127880459726</v>
      </c>
      <c r="E83" s="8">
        <f t="shared" si="1"/>
        <v>-0.65798336821437287</v>
      </c>
      <c r="F83" s="8">
        <f t="shared" si="1"/>
        <v>-0.24877876440256017</v>
      </c>
    </row>
    <row r="84" spans="2:6">
      <c r="B84" s="6">
        <f t="shared" si="2"/>
        <v>21</v>
      </c>
      <c r="C84" s="8">
        <f t="shared" si="1"/>
        <v>1.1576585542079367</v>
      </c>
      <c r="D84" s="8">
        <f t="shared" si="1"/>
        <v>1.4029199737672748</v>
      </c>
      <c r="E84" s="8">
        <f t="shared" si="1"/>
        <v>0.12703417849957938</v>
      </c>
      <c r="F84" s="8">
        <f t="shared" si="1"/>
        <v>1.2161700593271625</v>
      </c>
    </row>
    <row r="85" spans="2:6">
      <c r="B85" s="6">
        <f t="shared" si="2"/>
        <v>22</v>
      </c>
      <c r="C85" s="8">
        <f t="shared" si="1"/>
        <v>-2.2220534563060945E-2</v>
      </c>
      <c r="D85" s="8">
        <f t="shared" si="1"/>
        <v>-0.432666308657292</v>
      </c>
      <c r="E85" s="8">
        <f t="shared" si="1"/>
        <v>-0.29231280158266004</v>
      </c>
      <c r="F85" s="8">
        <f t="shared" si="1"/>
        <v>-0.78120102506992173</v>
      </c>
    </row>
    <row r="86" spans="2:6">
      <c r="B86" s="6">
        <f t="shared" si="2"/>
        <v>23</v>
      </c>
      <c r="C86" s="8">
        <f t="shared" si="1"/>
        <v>-0.8547081674890169</v>
      </c>
      <c r="D86" s="8">
        <f t="shared" si="1"/>
        <v>-0.75509102957012897</v>
      </c>
      <c r="E86" s="8">
        <f t="shared" si="1"/>
        <v>-0.73514321254950488</v>
      </c>
      <c r="F86" s="8">
        <f t="shared" si="1"/>
        <v>-0.65833434953129988</v>
      </c>
    </row>
    <row r="87" spans="2:6">
      <c r="B87" s="6">
        <f t="shared" si="2"/>
        <v>24</v>
      </c>
      <c r="C87" s="8">
        <f t="shared" si="1"/>
        <v>0.48478321180537842</v>
      </c>
      <c r="D87" s="8">
        <f t="shared" si="1"/>
        <v>0.37499165560951742</v>
      </c>
      <c r="E87" s="8">
        <f t="shared" si="1"/>
        <v>0.459156986724713</v>
      </c>
      <c r="F87" s="8">
        <f t="shared" si="1"/>
        <v>0.98303841856157226</v>
      </c>
    </row>
    <row r="88" spans="2:6">
      <c r="B88" s="6">
        <f t="shared" si="2"/>
        <v>25</v>
      </c>
      <c r="C88" s="8">
        <f t="shared" si="1"/>
        <v>-0.15679560304357262</v>
      </c>
      <c r="D88" s="8">
        <f t="shared" si="1"/>
        <v>-0.81893750895880957</v>
      </c>
      <c r="E88" s="8">
        <f t="shared" si="1"/>
        <v>-0.51372800706608246</v>
      </c>
      <c r="F88" s="8">
        <f t="shared" si="1"/>
        <v>-0.60477708070677239</v>
      </c>
    </row>
    <row r="89" spans="2:6">
      <c r="B89" s="6">
        <f t="shared" si="2"/>
        <v>26</v>
      </c>
      <c r="C89" s="8">
        <f t="shared" si="1"/>
        <v>-0.56052080848510766</v>
      </c>
      <c r="D89" s="8">
        <f t="shared" si="1"/>
        <v>-1.077515750482966</v>
      </c>
      <c r="E89" s="8">
        <f t="shared" si="1"/>
        <v>-0.90959155626371646</v>
      </c>
      <c r="F89" s="8">
        <f t="shared" si="1"/>
        <v>-0.80640444569322878</v>
      </c>
    </row>
    <row r="90" spans="2:6">
      <c r="B90" s="6">
        <f t="shared" si="2"/>
        <v>27</v>
      </c>
      <c r="C90" s="8">
        <f t="shared" si="1"/>
        <v>0.81965605662897723</v>
      </c>
      <c r="D90" s="8">
        <f t="shared" si="1"/>
        <v>0.46756905072310428</v>
      </c>
      <c r="E90" s="8">
        <f t="shared" si="1"/>
        <v>0.64366965796089837</v>
      </c>
      <c r="F90" s="8">
        <f t="shared" si="1"/>
        <v>0.34350162024515568</v>
      </c>
    </row>
    <row r="91" spans="2:6">
      <c r="B91" s="6">
        <f t="shared" si="2"/>
        <v>28</v>
      </c>
      <c r="C91" s="8">
        <f t="shared" si="1"/>
        <v>-0.7858558068710807</v>
      </c>
      <c r="D91" s="8">
        <f t="shared" si="1"/>
        <v>-0.23793454652181623</v>
      </c>
      <c r="E91" s="8">
        <f t="shared" si="1"/>
        <v>-0.31915100830792337</v>
      </c>
      <c r="F91" s="8">
        <f t="shared" si="1"/>
        <v>-0.40314971572031588</v>
      </c>
    </row>
    <row r="92" spans="2:6">
      <c r="B92" s="6">
        <f t="shared" si="2"/>
        <v>29</v>
      </c>
      <c r="C92" s="8">
        <f t="shared" si="1"/>
        <v>1.3141411919759738</v>
      </c>
      <c r="D92" s="8">
        <f t="shared" si="1"/>
        <v>1.7604602583438862</v>
      </c>
      <c r="E92" s="8">
        <f t="shared" si="1"/>
        <v>1.8648080639603797</v>
      </c>
      <c r="F92" s="8">
        <f t="shared" si="1"/>
        <v>1.6036726514105084</v>
      </c>
    </row>
    <row r="93" spans="2:6">
      <c r="B93" s="6">
        <f t="shared" si="2"/>
        <v>30</v>
      </c>
      <c r="C93" s="8">
        <f t="shared" si="1"/>
        <v>-1.3022485115056024</v>
      </c>
      <c r="D93" s="8">
        <f t="shared" si="1"/>
        <v>-1.1732854695659869</v>
      </c>
      <c r="E93" s="8">
        <f t="shared" si="1"/>
        <v>-0.99010617643950649</v>
      </c>
      <c r="F93" s="8">
        <f t="shared" si="1"/>
        <v>-1.3892335476072044</v>
      </c>
    </row>
    <row r="95" spans="2:6">
      <c r="B95" s="6" t="s">
        <v>328</v>
      </c>
      <c r="C95" s="8">
        <f>AVERAGE(C64:C93)</f>
        <v>2.5165055224836881E-16</v>
      </c>
      <c r="D95" s="8">
        <f>AVERAGE(D64:D93)</f>
        <v>5.9211894646675015E-17</v>
      </c>
      <c r="E95" s="8">
        <f>AVERAGE(E64:E93)</f>
        <v>-3.3306690738754696E-16</v>
      </c>
      <c r="F95" s="8">
        <f>AVERAGE(F64:F93)</f>
        <v>-1.1102230246251565E-16</v>
      </c>
    </row>
    <row r="96" spans="2:6">
      <c r="B96" s="6" t="s">
        <v>396</v>
      </c>
      <c r="C96" s="8">
        <f>_xlfn.STDEV.P(C64:C93)</f>
        <v>1</v>
      </c>
      <c r="D96" s="8">
        <f>_xlfn.STDEV.P(D64:D93)</f>
        <v>1</v>
      </c>
      <c r="E96" s="8">
        <f>_xlfn.STDEV.P(E64:E93)</f>
        <v>1</v>
      </c>
      <c r="F96" s="8">
        <f>_xlfn.STDEV.P(F64:F93)</f>
        <v>1</v>
      </c>
    </row>
    <row r="100" spans="1:13">
      <c r="A100" s="17" t="s">
        <v>614</v>
      </c>
      <c r="B100" s="17"/>
      <c r="C100" s="17"/>
      <c r="D100" s="17"/>
      <c r="E100" s="17"/>
      <c r="F100" s="17"/>
      <c r="H100" s="17" t="s">
        <v>615</v>
      </c>
      <c r="I100" s="17"/>
      <c r="J100" s="17"/>
      <c r="K100" s="17"/>
      <c r="L100" s="17"/>
      <c r="M100" s="17"/>
    </row>
    <row r="103" spans="1:13">
      <c r="B103" s="107" t="s">
        <v>435</v>
      </c>
      <c r="C103" s="107" t="s">
        <v>533</v>
      </c>
      <c r="D103" s="107" t="s">
        <v>534</v>
      </c>
      <c r="E103" s="107" t="s">
        <v>611</v>
      </c>
      <c r="F103" s="107" t="s">
        <v>612</v>
      </c>
      <c r="H103" s="107" t="s">
        <v>619</v>
      </c>
      <c r="I103" s="107" t="s">
        <v>566</v>
      </c>
      <c r="J103" s="107" t="s">
        <v>616</v>
      </c>
      <c r="K103" s="107" t="s">
        <v>617</v>
      </c>
      <c r="L103" s="107" t="s">
        <v>618</v>
      </c>
    </row>
    <row r="104" spans="1:13">
      <c r="B104" s="107" t="s">
        <v>533</v>
      </c>
      <c r="C104" s="8">
        <f t="array" ref="C104:F107">MMULT(TRANSPOSE(C15:F44),C15:F44)</f>
        <v>112059389</v>
      </c>
      <c r="D104" s="8">
        <v>102787357</v>
      </c>
      <c r="E104" s="8">
        <v>88828173</v>
      </c>
      <c r="F104" s="8">
        <v>101371460</v>
      </c>
      <c r="H104" s="107" t="s">
        <v>566</v>
      </c>
      <c r="I104" s="8">
        <f t="array" ref="I104:L107">MMULT(TRANSPOSE(C64:F93),C64:F93)</f>
        <v>29.999999999999996</v>
      </c>
      <c r="J104" s="8">
        <v>27.412860847373267</v>
      </c>
      <c r="K104" s="8">
        <v>26.577902932619864</v>
      </c>
      <c r="L104" s="8">
        <v>26.94363563292201</v>
      </c>
    </row>
    <row r="105" spans="1:13">
      <c r="B105" s="107" t="s">
        <v>534</v>
      </c>
      <c r="C105" s="8">
        <v>102787357</v>
      </c>
      <c r="D105" s="8">
        <v>94769800</v>
      </c>
      <c r="E105" s="8">
        <v>81416348</v>
      </c>
      <c r="F105" s="8">
        <v>92887467</v>
      </c>
      <c r="H105" s="107" t="s">
        <v>616</v>
      </c>
      <c r="I105" s="8">
        <v>27.412860847373267</v>
      </c>
      <c r="J105" s="8">
        <v>29.999999999999996</v>
      </c>
      <c r="K105" s="8">
        <v>23.646386715999302</v>
      </c>
      <c r="L105" s="8">
        <v>23.643100743156456</v>
      </c>
    </row>
    <row r="106" spans="1:13">
      <c r="B106" s="107" t="s">
        <v>611</v>
      </c>
      <c r="C106" s="8">
        <v>88828173</v>
      </c>
      <c r="D106" s="8">
        <v>81416348</v>
      </c>
      <c r="E106" s="8">
        <v>70990098</v>
      </c>
      <c r="F106" s="8">
        <v>80716360</v>
      </c>
      <c r="H106" s="107" t="s">
        <v>617</v>
      </c>
      <c r="I106" s="8">
        <v>26.577902932619864</v>
      </c>
      <c r="J106" s="8">
        <v>23.646386715999302</v>
      </c>
      <c r="K106" s="8">
        <v>30.000000000000004</v>
      </c>
      <c r="L106" s="8">
        <v>27.693039229901299</v>
      </c>
    </row>
    <row r="107" spans="1:13">
      <c r="B107" s="107" t="s">
        <v>612</v>
      </c>
      <c r="C107" s="8">
        <v>101371460</v>
      </c>
      <c r="D107" s="8">
        <v>92887467</v>
      </c>
      <c r="E107" s="8">
        <v>80716360</v>
      </c>
      <c r="F107" s="8">
        <v>92287911</v>
      </c>
      <c r="H107" s="107" t="s">
        <v>618</v>
      </c>
      <c r="I107" s="8">
        <v>26.94363563292201</v>
      </c>
      <c r="J107" s="8">
        <v>23.643100743156456</v>
      </c>
      <c r="K107" s="8">
        <v>27.693039229901299</v>
      </c>
      <c r="L107" s="8">
        <v>30.000000000000004</v>
      </c>
    </row>
    <row r="109" spans="1:13">
      <c r="B109" s="107" t="s">
        <v>620</v>
      </c>
      <c r="C109" s="107" t="s">
        <v>533</v>
      </c>
      <c r="D109" s="107" t="s">
        <v>534</v>
      </c>
      <c r="E109" s="107" t="s">
        <v>611</v>
      </c>
      <c r="F109" s="107" t="s">
        <v>612</v>
      </c>
      <c r="H109" s="107" t="s">
        <v>621</v>
      </c>
      <c r="I109" s="107" t="s">
        <v>566</v>
      </c>
      <c r="J109" s="107" t="s">
        <v>616</v>
      </c>
      <c r="K109" s="107" t="s">
        <v>617</v>
      </c>
      <c r="L109" s="107" t="s">
        <v>618</v>
      </c>
    </row>
    <row r="110" spans="1:13">
      <c r="B110" s="107" t="s">
        <v>533</v>
      </c>
      <c r="C110" s="8">
        <f t="array" ref="C110:F113">MMULT(TRANSPOSE(C54:F54),C54:F54)</f>
        <v>3633217.2099999995</v>
      </c>
      <c r="D110" s="8">
        <v>3334785.4866666663</v>
      </c>
      <c r="E110" s="8">
        <v>2876559.0466666669</v>
      </c>
      <c r="F110" s="8">
        <v>3287958.9633333334</v>
      </c>
      <c r="H110" s="107" t="s">
        <v>566</v>
      </c>
      <c r="I110" s="8">
        <f t="array" ref="I110:L113">MMULT(TRANSPOSE(C95:F95),C95:F95)</f>
        <v>6.3328000446908995E-32</v>
      </c>
      <c r="J110" s="8">
        <v>1.4900705987508001E-32</v>
      </c>
      <c r="K110" s="8">
        <v>-8.3816471179732502E-32</v>
      </c>
      <c r="L110" s="8">
        <v>-2.7938823726577501E-32</v>
      </c>
    </row>
    <row r="111" spans="1:13">
      <c r="B111" s="107" t="s">
        <v>534</v>
      </c>
      <c r="C111" s="8">
        <v>3334785.4866666663</v>
      </c>
      <c r="D111" s="8">
        <v>3060866.8844444444</v>
      </c>
      <c r="E111" s="8">
        <v>2640279.0711111114</v>
      </c>
      <c r="F111" s="8">
        <v>3017886.6822222224</v>
      </c>
      <c r="H111" s="107" t="s">
        <v>616</v>
      </c>
      <c r="I111" s="8">
        <v>1.4900705987508001E-32</v>
      </c>
      <c r="J111" s="8">
        <v>3.5060484676489414E-33</v>
      </c>
      <c r="K111" s="8">
        <v>-1.9721522630525296E-32</v>
      </c>
      <c r="L111" s="8">
        <v>-6.573840876841765E-33</v>
      </c>
    </row>
    <row r="112" spans="1:13">
      <c r="B112" s="107" t="s">
        <v>611</v>
      </c>
      <c r="C112" s="8">
        <v>2876559.0466666669</v>
      </c>
      <c r="D112" s="8">
        <v>2640279.0711111114</v>
      </c>
      <c r="E112" s="8">
        <v>2277483.4177777781</v>
      </c>
      <c r="F112" s="8">
        <v>2603204.6955555556</v>
      </c>
      <c r="H112" s="107" t="s">
        <v>617</v>
      </c>
      <c r="I112" s="8">
        <v>-8.3816471179732502E-32</v>
      </c>
      <c r="J112" s="8">
        <v>-1.9721522630525296E-32</v>
      </c>
      <c r="K112" s="8">
        <v>1.1093356479670479E-31</v>
      </c>
      <c r="L112" s="8">
        <v>3.6977854932234928E-32</v>
      </c>
    </row>
    <row r="113" spans="2:12">
      <c r="B113" s="107" t="s">
        <v>612</v>
      </c>
      <c r="C113" s="8">
        <v>3287958.9633333334</v>
      </c>
      <c r="D113" s="8">
        <v>3017886.6822222224</v>
      </c>
      <c r="E113" s="8">
        <v>2603204.6955555556</v>
      </c>
      <c r="F113" s="8">
        <v>2975510.0011111111</v>
      </c>
      <c r="H113" s="107" t="s">
        <v>618</v>
      </c>
      <c r="I113" s="8">
        <v>-2.7938823726577501E-32</v>
      </c>
      <c r="J113" s="8">
        <v>-6.573840876841765E-33</v>
      </c>
      <c r="K113" s="8">
        <v>3.6977854932234928E-32</v>
      </c>
      <c r="L113" s="8">
        <v>1.2325951644078309E-32</v>
      </c>
    </row>
    <row r="115" spans="2:12">
      <c r="B115" s="107" t="s">
        <v>622</v>
      </c>
      <c r="C115" s="107" t="s">
        <v>533</v>
      </c>
      <c r="D115" s="107" t="s">
        <v>534</v>
      </c>
      <c r="E115" s="107" t="s">
        <v>611</v>
      </c>
      <c r="F115" s="107" t="s">
        <v>612</v>
      </c>
      <c r="H115" s="107" t="s">
        <v>623</v>
      </c>
      <c r="I115" s="107" t="s">
        <v>566</v>
      </c>
      <c r="J115" s="107" t="s">
        <v>616</v>
      </c>
      <c r="K115" s="107" t="s">
        <v>617</v>
      </c>
      <c r="L115" s="107" t="s">
        <v>618</v>
      </c>
    </row>
    <row r="116" spans="2:12">
      <c r="B116" s="107" t="s">
        <v>533</v>
      </c>
      <c r="C116" s="8">
        <f t="array" ref="C116:F119">1/C56*C104:F107-C110:F113</f>
        <v>102095.75666666729</v>
      </c>
      <c r="D116" s="8">
        <v>91459.746666667052</v>
      </c>
      <c r="E116" s="8">
        <v>84380.053333333228</v>
      </c>
      <c r="F116" s="8">
        <v>91089.703333333135</v>
      </c>
      <c r="H116" s="107" t="s">
        <v>566</v>
      </c>
      <c r="I116" s="8">
        <f t="array" ref="I116:L119">1/C56*I104:L107-I110:L113</f>
        <v>0.99999999999999989</v>
      </c>
      <c r="J116" s="8">
        <v>0.91376202824577557</v>
      </c>
      <c r="K116" s="8">
        <v>0.88593009775399545</v>
      </c>
      <c r="L116" s="8">
        <v>0.89812118776406702</v>
      </c>
    </row>
    <row r="117" spans="2:12">
      <c r="B117" s="107" t="s">
        <v>534</v>
      </c>
      <c r="C117" s="8">
        <v>91459.746666667052</v>
      </c>
      <c r="D117" s="8">
        <v>98126.448888889048</v>
      </c>
      <c r="E117" s="8">
        <v>73599.195555555169</v>
      </c>
      <c r="F117" s="8">
        <v>78362.217777777463</v>
      </c>
      <c r="H117" s="107" t="s">
        <v>616</v>
      </c>
      <c r="I117" s="8">
        <v>0.91376202824577557</v>
      </c>
      <c r="J117" s="8">
        <v>0.99999999999999989</v>
      </c>
      <c r="K117" s="8">
        <v>0.78821289053331012</v>
      </c>
      <c r="L117" s="8">
        <v>0.78810335810521515</v>
      </c>
    </row>
    <row r="118" spans="2:12">
      <c r="B118" s="107" t="s">
        <v>611</v>
      </c>
      <c r="C118" s="8">
        <v>84380.053333333228</v>
      </c>
      <c r="D118" s="8">
        <v>73599.195555555169</v>
      </c>
      <c r="E118" s="8">
        <v>88853.182222221978</v>
      </c>
      <c r="F118" s="8">
        <v>87340.637777777854</v>
      </c>
      <c r="H118" s="107" t="s">
        <v>617</v>
      </c>
      <c r="I118" s="8">
        <v>0.88593009775399545</v>
      </c>
      <c r="J118" s="8">
        <v>0.78821289053331012</v>
      </c>
      <c r="K118" s="8">
        <v>1</v>
      </c>
      <c r="L118" s="8">
        <v>0.92310130766337661</v>
      </c>
    </row>
    <row r="119" spans="2:12">
      <c r="B119" s="107" t="s">
        <v>612</v>
      </c>
      <c r="C119" s="8">
        <v>91089.703333333135</v>
      </c>
      <c r="D119" s="8">
        <v>78362.217777777463</v>
      </c>
      <c r="E119" s="8">
        <v>87340.637777777854</v>
      </c>
      <c r="F119" s="8">
        <v>100753.69888888905</v>
      </c>
      <c r="H119" s="107" t="s">
        <v>618</v>
      </c>
      <c r="I119" s="8">
        <v>0.89812118776406702</v>
      </c>
      <c r="J119" s="8">
        <v>0.78810335810521515</v>
      </c>
      <c r="K119" s="8">
        <v>0.92310130766337661</v>
      </c>
      <c r="L119" s="8">
        <v>1</v>
      </c>
    </row>
    <row r="121" spans="2:12">
      <c r="H121" s="155" t="s">
        <v>625</v>
      </c>
      <c r="I121" s="155"/>
      <c r="J121" s="155"/>
      <c r="K121" s="155"/>
      <c r="L121" s="155"/>
    </row>
    <row r="123" spans="2:12">
      <c r="B123" s="107" t="s">
        <v>626</v>
      </c>
      <c r="C123" s="107" t="s">
        <v>533</v>
      </c>
      <c r="D123" s="107" t="s">
        <v>534</v>
      </c>
      <c r="E123" s="107" t="s">
        <v>611</v>
      </c>
      <c r="F123" s="107" t="s">
        <v>612</v>
      </c>
      <c r="H123" s="155" t="s">
        <v>627</v>
      </c>
      <c r="I123" s="155"/>
      <c r="J123" s="155"/>
      <c r="K123" s="155"/>
      <c r="L123" s="155"/>
    </row>
    <row r="124" spans="2:12">
      <c r="B124" s="107" t="s">
        <v>533</v>
      </c>
      <c r="C124" s="8">
        <f t="array" ref="C124:F127">MMULT(TRANSPOSE(C55:F55),C55:F55)</f>
        <v>102095.75666666667</v>
      </c>
      <c r="D124" s="8">
        <v>100091.428445817</v>
      </c>
      <c r="E124" s="8">
        <v>95244.594971153056</v>
      </c>
      <c r="F124" s="8">
        <v>101422.50798036205</v>
      </c>
      <c r="H124" s="155" t="s">
        <v>628</v>
      </c>
      <c r="I124" s="155"/>
      <c r="J124" s="155"/>
      <c r="K124" s="155"/>
      <c r="L124" s="155"/>
    </row>
    <row r="125" spans="2:12">
      <c r="B125" s="107" t="s">
        <v>534</v>
      </c>
      <c r="C125" s="8">
        <v>100091.428445817</v>
      </c>
      <c r="D125" s="8">
        <v>98126.448888888903</v>
      </c>
      <c r="E125" s="8">
        <v>93374.767704899918</v>
      </c>
      <c r="F125" s="8">
        <v>99431.396874362865</v>
      </c>
      <c r="H125" s="155" t="s">
        <v>629</v>
      </c>
      <c r="I125" s="155"/>
      <c r="J125" s="155"/>
      <c r="K125" s="155"/>
      <c r="L125" s="155"/>
    </row>
    <row r="126" spans="2:12">
      <c r="B126" s="107" t="s">
        <v>611</v>
      </c>
      <c r="C126" s="8">
        <v>95244.594971153056</v>
      </c>
      <c r="D126" s="8">
        <v>93374.767704899918</v>
      </c>
      <c r="E126" s="8">
        <v>88853.182222222225</v>
      </c>
      <c r="F126" s="8">
        <v>94616.524809027687</v>
      </c>
    </row>
    <row r="127" spans="2:12">
      <c r="B127" s="107" t="s">
        <v>612</v>
      </c>
      <c r="C127" s="8">
        <v>101422.50798036205</v>
      </c>
      <c r="D127" s="8">
        <v>99431.396874362865</v>
      </c>
      <c r="E127" s="8">
        <v>94616.524809027687</v>
      </c>
      <c r="F127" s="8">
        <v>100753.69888888887</v>
      </c>
    </row>
    <row r="129" spans="1:13">
      <c r="B129" s="107" t="s">
        <v>539</v>
      </c>
      <c r="C129" s="107" t="s">
        <v>533</v>
      </c>
      <c r="D129" s="107" t="s">
        <v>534</v>
      </c>
      <c r="E129" s="107" t="s">
        <v>611</v>
      </c>
      <c r="F129" s="107" t="s">
        <v>612</v>
      </c>
    </row>
    <row r="130" spans="1:13">
      <c r="B130" s="107" t="s">
        <v>533</v>
      </c>
      <c r="C130" s="8">
        <f t="array" ref="C130:F133">C116:F119/C124:F127</f>
        <v>1.0000000000000062</v>
      </c>
      <c r="D130" s="8">
        <v>0.91376202824577946</v>
      </c>
      <c r="E130" s="8">
        <v>0.88593009775399434</v>
      </c>
      <c r="F130" s="8">
        <v>0.89812118776406513</v>
      </c>
    </row>
    <row r="131" spans="1:13">
      <c r="B131" s="107" t="s">
        <v>534</v>
      </c>
      <c r="C131" s="8">
        <v>0.91376202824577946</v>
      </c>
      <c r="D131" s="8">
        <v>1.0000000000000016</v>
      </c>
      <c r="E131" s="8">
        <v>0.78821289053330612</v>
      </c>
      <c r="F131" s="8">
        <v>0.78810335810521215</v>
      </c>
    </row>
    <row r="132" spans="1:13">
      <c r="B132" s="107" t="s">
        <v>611</v>
      </c>
      <c r="C132" s="8">
        <v>0.88593009775399434</v>
      </c>
      <c r="D132" s="8">
        <v>0.78821289053330612</v>
      </c>
      <c r="E132" s="8">
        <v>0.99999999999999722</v>
      </c>
      <c r="F132" s="8">
        <v>0.9231013076633775</v>
      </c>
    </row>
    <row r="133" spans="1:13">
      <c r="B133" s="107" t="s">
        <v>612</v>
      </c>
      <c r="C133" s="8">
        <v>0.89812118776406513</v>
      </c>
      <c r="D133" s="8">
        <v>0.78810335810521215</v>
      </c>
      <c r="E133" s="8">
        <v>0.9231013076633775</v>
      </c>
      <c r="F133" s="8">
        <v>1.0000000000000018</v>
      </c>
    </row>
    <row r="136" spans="1:13" ht="14.25">
      <c r="B136" s="107" t="s">
        <v>644</v>
      </c>
      <c r="C136" s="107" t="s">
        <v>533</v>
      </c>
      <c r="D136" s="107" t="s">
        <v>534</v>
      </c>
      <c r="E136" s="107" t="s">
        <v>611</v>
      </c>
      <c r="F136" s="107" t="s">
        <v>612</v>
      </c>
      <c r="H136" s="107" t="s">
        <v>645</v>
      </c>
      <c r="I136" s="107" t="s">
        <v>533</v>
      </c>
      <c r="J136" s="107" t="s">
        <v>534</v>
      </c>
      <c r="K136" s="107" t="s">
        <v>611</v>
      </c>
      <c r="L136" s="107" t="s">
        <v>612</v>
      </c>
    </row>
    <row r="137" spans="1:13">
      <c r="B137" s="107" t="s">
        <v>533</v>
      </c>
      <c r="C137" s="8">
        <f t="array" ref="C137:F140">MINVERSE(C116:F119)</f>
        <v>1.266970768031411E-4</v>
      </c>
      <c r="D137" s="8">
        <v>-6.6667817721039634E-5</v>
      </c>
      <c r="E137" s="8">
        <v>-2.3466853020519185E-5</v>
      </c>
      <c r="F137" s="8">
        <v>-4.2350317911697021E-5</v>
      </c>
      <c r="H137" s="107" t="s">
        <v>533</v>
      </c>
      <c r="I137" s="8">
        <f t="array" ref="I137:L140">MINVERSE(I116:L119)</f>
        <v>12.935233923671921</v>
      </c>
      <c r="J137" s="8">
        <v>-6.6728771070642736</v>
      </c>
      <c r="K137" s="8">
        <v>-2.2350909111868824</v>
      </c>
      <c r="L137" s="8">
        <v>-4.2952754563703737</v>
      </c>
    </row>
    <row r="138" spans="1:13">
      <c r="B138" s="107" t="s">
        <v>534</v>
      </c>
      <c r="C138" s="8">
        <v>-6.6667817721039675E-5</v>
      </c>
      <c r="D138" s="8">
        <v>6.3871124455548635E-5</v>
      </c>
      <c r="E138" s="8">
        <v>-7.3238325497037939E-8</v>
      </c>
      <c r="F138" s="8">
        <v>1.0660307936050739E-5</v>
      </c>
      <c r="H138" s="107" t="s">
        <v>534</v>
      </c>
      <c r="I138" s="8">
        <v>-6.6728771070642745</v>
      </c>
      <c r="J138" s="8">
        <v>6.2674466293632589</v>
      </c>
      <c r="K138" s="8">
        <v>-6.8386116304496314E-3</v>
      </c>
      <c r="L138" s="8">
        <v>1.0599693091924909</v>
      </c>
    </row>
    <row r="139" spans="1:13">
      <c r="B139" s="107" t="s">
        <v>611</v>
      </c>
      <c r="C139" s="8">
        <v>-2.3466853020519084E-5</v>
      </c>
      <c r="D139" s="8">
        <v>-7.3238325497118513E-8</v>
      </c>
      <c r="E139" s="8">
        <v>8.5809388577699075E-5</v>
      </c>
      <c r="F139" s="8">
        <v>-5.3112878110614321E-5</v>
      </c>
      <c r="H139" s="107" t="s">
        <v>611</v>
      </c>
      <c r="I139" s="8">
        <v>-2.2350909111868824</v>
      </c>
      <c r="J139" s="8">
        <v>-6.8386116304494987E-3</v>
      </c>
      <c r="K139" s="8">
        <v>7.6244372396716011</v>
      </c>
      <c r="L139" s="8">
        <v>-5.0253559494316322</v>
      </c>
    </row>
    <row r="140" spans="1:13">
      <c r="B140" s="107" t="s">
        <v>612</v>
      </c>
      <c r="C140" s="8">
        <v>-4.2350317911697089E-5</v>
      </c>
      <c r="D140" s="8">
        <v>1.0660307936050792E-5</v>
      </c>
      <c r="E140" s="8">
        <v>-5.3112878110614308E-5</v>
      </c>
      <c r="F140" s="8">
        <v>8.5964339438613169E-5</v>
      </c>
      <c r="H140" s="107" t="s">
        <v>612</v>
      </c>
      <c r="I140" s="8">
        <v>-4.2952754563703728</v>
      </c>
      <c r="J140" s="8">
        <v>1.0599693091924909</v>
      </c>
      <c r="K140" s="8">
        <v>-5.0253559494316322</v>
      </c>
      <c r="L140" s="8">
        <v>8.6612251709804067</v>
      </c>
    </row>
    <row r="144" spans="1:13">
      <c r="A144" s="17" t="s">
        <v>630</v>
      </c>
      <c r="B144" s="17"/>
      <c r="C144" s="17"/>
      <c r="D144" s="17"/>
      <c r="E144" s="17"/>
      <c r="F144" s="17"/>
      <c r="H144" s="17" t="s">
        <v>631</v>
      </c>
      <c r="I144" s="17"/>
      <c r="J144" s="17"/>
      <c r="K144" s="17"/>
      <c r="L144" s="17"/>
      <c r="M144" s="17"/>
    </row>
    <row r="147" spans="2:9">
      <c r="B147" s="6" t="s">
        <v>385</v>
      </c>
      <c r="C147" s="6" t="s">
        <v>632</v>
      </c>
      <c r="H147" s="6" t="s">
        <v>385</v>
      </c>
      <c r="I147" s="6" t="s">
        <v>633</v>
      </c>
    </row>
    <row r="148" spans="2:9">
      <c r="B148" s="6">
        <v>1</v>
      </c>
      <c r="C148" s="8">
        <f t="array" ref="C148">MMULT(MMULT(C15:F15-$C$54:$F$54,$C$137:$F$140),TRANSPOSE(C15:F15-$C$54:$F$54))</f>
        <v>0.62070295811858922</v>
      </c>
      <c r="H148" s="6">
        <v>1</v>
      </c>
      <c r="I148" s="8">
        <f t="array" ref="I148">MMULT(MMULT(C64:F64,$I$137:$L$140),TRANSPOSE(C64:F64))</f>
        <v>0.62070295811859977</v>
      </c>
    </row>
    <row r="149" spans="2:9">
      <c r="B149" s="6">
        <f>B148+1</f>
        <v>2</v>
      </c>
      <c r="C149" s="8">
        <f t="array" ref="C149">MMULT(MMULT(C16:F16-$C$54:$F$54,$C$137:$F$140),TRANSPOSE(C16:F16-$C$54:$F$54))</f>
        <v>5.6658823360800383</v>
      </c>
      <c r="H149" s="6">
        <f>H148+1</f>
        <v>2</v>
      </c>
      <c r="I149" s="8">
        <f t="array" ref="I149">MMULT(MMULT(C65:F65,$I$137:$L$140),TRANSPOSE(C65:F65))</f>
        <v>5.6658823360800366</v>
      </c>
    </row>
    <row r="150" spans="2:9">
      <c r="B150" s="6">
        <f t="shared" ref="B150:B177" si="3">B149+1</f>
        <v>3</v>
      </c>
      <c r="C150" s="8">
        <f t="array" ref="C150">MMULT(MMULT(C17:F17-$C$54:$F$54,$C$137:$F$140),TRANSPOSE(C17:F17-$C$54:$F$54))</f>
        <v>7.879286798552732</v>
      </c>
      <c r="H150" s="6">
        <f t="shared" ref="H150:H177" si="4">H149+1</f>
        <v>3</v>
      </c>
      <c r="I150" s="8">
        <f t="array" ref="I150">MMULT(MMULT(C66:F66,$I$137:$L$140),TRANSPOSE(C66:F66))</f>
        <v>7.879286798552835</v>
      </c>
    </row>
    <row r="151" spans="2:9">
      <c r="B151" s="6">
        <f t="shared" si="3"/>
        <v>4</v>
      </c>
      <c r="C151" s="8">
        <f t="array" ref="C151">MMULT(MMULT(C18:F18-$C$54:$F$54,$C$137:$F$140),TRANSPOSE(C18:F18-$C$54:$F$54))</f>
        <v>5.3871825556452508</v>
      </c>
      <c r="H151" s="6">
        <f t="shared" si="4"/>
        <v>4</v>
      </c>
      <c r="I151" s="8">
        <f t="array" ref="I151">MMULT(MMULT(C67:F67,$I$137:$L$140),TRANSPOSE(C67:F67))</f>
        <v>5.3871825556452047</v>
      </c>
    </row>
    <row r="152" spans="2:9">
      <c r="B152" s="6">
        <f t="shared" si="3"/>
        <v>5</v>
      </c>
      <c r="C152" s="8">
        <f t="array" ref="C152">MMULT(MMULT(C19:F19-$C$54:$F$54,$C$137:$F$140),TRANSPOSE(C19:F19-$C$54:$F$54))</f>
        <v>1.4462871984432488</v>
      </c>
      <c r="H152" s="6">
        <f t="shared" si="4"/>
        <v>5</v>
      </c>
      <c r="I152" s="8">
        <f t="array" ref="I152">MMULT(MMULT(C68:F68,$I$137:$L$140),TRANSPOSE(C68:F68))</f>
        <v>1.4462871984432812</v>
      </c>
    </row>
    <row r="153" spans="2:9">
      <c r="B153" s="6">
        <f t="shared" si="3"/>
        <v>6</v>
      </c>
      <c r="C153" s="8">
        <f t="array" ref="C153">MMULT(MMULT(C20:F20-$C$54:$F$54,$C$137:$F$140),TRANSPOSE(C20:F20-$C$54:$F$54))</f>
        <v>2.2956629672094602</v>
      </c>
      <c r="H153" s="6">
        <f t="shared" si="4"/>
        <v>6</v>
      </c>
      <c r="I153" s="8">
        <f t="array" ref="I153">MMULT(MMULT(C69:F69,$I$137:$L$140),TRANSPOSE(C69:F69))</f>
        <v>2.2956629672094415</v>
      </c>
    </row>
    <row r="154" spans="2:9">
      <c r="B154" s="6">
        <f t="shared" si="3"/>
        <v>7</v>
      </c>
      <c r="C154" s="8">
        <f t="array" ref="C154">MMULT(MMULT(C21:F21-$C$54:$F$54,$C$137:$F$140),TRANSPOSE(C21:F21-$C$54:$F$54))</f>
        <v>5.1603618546286096</v>
      </c>
      <c r="H154" s="6">
        <f t="shared" si="4"/>
        <v>7</v>
      </c>
      <c r="I154" s="8">
        <f t="array" ref="I154">MMULT(MMULT(C70:F70,$I$137:$L$140),TRANSPOSE(C70:F70))</f>
        <v>5.1603618546285546</v>
      </c>
    </row>
    <row r="155" spans="2:9">
      <c r="B155" s="6">
        <f t="shared" si="3"/>
        <v>8</v>
      </c>
      <c r="C155" s="8">
        <f t="array" ref="C155">MMULT(MMULT(C22:F22-$C$54:$F$54,$C$137:$F$140),TRANSPOSE(C22:F22-$C$54:$F$54))</f>
        <v>1.5389554850713316</v>
      </c>
      <c r="H155" s="6">
        <f t="shared" si="4"/>
        <v>8</v>
      </c>
      <c r="I155" s="8">
        <f t="array" ref="I155">MMULT(MMULT(C71:F71,$I$137:$L$140),TRANSPOSE(C71:F71))</f>
        <v>1.5389554850713485</v>
      </c>
    </row>
    <row r="156" spans="2:9">
      <c r="B156" s="6">
        <f t="shared" si="3"/>
        <v>9</v>
      </c>
      <c r="C156" s="8">
        <f t="array" ref="C156">MMULT(MMULT(C23:F23-$C$54:$F$54,$C$137:$F$140),TRANSPOSE(C23:F23-$C$54:$F$54))</f>
        <v>12.687677579916334</v>
      </c>
      <c r="H156" s="6">
        <f t="shared" si="4"/>
        <v>9</v>
      </c>
      <c r="I156" s="8">
        <f t="array" ref="I156">MMULT(MMULT(C72:F72,$I$137:$L$140),TRANSPOSE(C72:F72))</f>
        <v>12.687677579916395</v>
      </c>
    </row>
    <row r="157" spans="2:9">
      <c r="B157" s="6">
        <f t="shared" si="3"/>
        <v>10</v>
      </c>
      <c r="C157" s="8">
        <f t="array" ref="C157">MMULT(MMULT(C24:F24-$C$54:$F$54,$C$137:$F$140),TRANSPOSE(C24:F24-$C$54:$F$54))</f>
        <v>0.79297238320962837</v>
      </c>
      <c r="H157" s="6">
        <f t="shared" si="4"/>
        <v>10</v>
      </c>
      <c r="I157" s="8">
        <f t="array" ref="I157">MMULT(MMULT(C73:F73,$I$137:$L$140),TRANSPOSE(C73:F73))</f>
        <v>0.79297238320962748</v>
      </c>
    </row>
    <row r="158" spans="2:9">
      <c r="B158" s="6">
        <f t="shared" si="3"/>
        <v>11</v>
      </c>
      <c r="C158" s="8">
        <f t="array" ref="C158">MMULT(MMULT(C25:F25-$C$54:$F$54,$C$137:$F$140),TRANSPOSE(C25:F25-$C$54:$F$54))</f>
        <v>1.9973556638960888</v>
      </c>
      <c r="H158" s="6">
        <f t="shared" si="4"/>
        <v>11</v>
      </c>
      <c r="I158" s="8">
        <f t="array" ref="I158">MMULT(MMULT(C74:F74,$I$137:$L$140),TRANSPOSE(C74:F74))</f>
        <v>1.9973556638961509</v>
      </c>
    </row>
    <row r="159" spans="2:9">
      <c r="B159" s="6">
        <f t="shared" si="3"/>
        <v>12</v>
      </c>
      <c r="C159" s="8">
        <f t="array" ref="C159">MMULT(MMULT(C26:F26-$C$54:$F$54,$C$137:$F$140),TRANSPOSE(C26:F26-$C$54:$F$54))</f>
        <v>0.47949916525418501</v>
      </c>
      <c r="H159" s="6">
        <f t="shared" si="4"/>
        <v>12</v>
      </c>
      <c r="I159" s="8">
        <f t="array" ref="I159">MMULT(MMULT(C75:F75,$I$137:$L$140),TRANSPOSE(C75:F75))</f>
        <v>0.4794991652541864</v>
      </c>
    </row>
    <row r="160" spans="2:9">
      <c r="B160" s="6">
        <f t="shared" si="3"/>
        <v>13</v>
      </c>
      <c r="C160" s="8">
        <f t="array" ref="C160">MMULT(MMULT(C27:F27-$C$54:$F$54,$C$137:$F$140),TRANSPOSE(C27:F27-$C$54:$F$54))</f>
        <v>2.7888645323767003</v>
      </c>
      <c r="H160" s="6">
        <f t="shared" si="4"/>
        <v>13</v>
      </c>
      <c r="I160" s="8">
        <f t="array" ref="I160">MMULT(MMULT(C76:F76,$I$137:$L$140),TRANSPOSE(C76:F76))</f>
        <v>2.7888645323767136</v>
      </c>
    </row>
    <row r="161" spans="2:9">
      <c r="B161" s="6">
        <f t="shared" si="3"/>
        <v>14</v>
      </c>
      <c r="C161" s="8">
        <f t="array" ref="C161">MMULT(MMULT(C28:F28-$C$54:$F$54,$C$137:$F$140),TRANSPOSE(C28:F28-$C$54:$F$54))</f>
        <v>0.13403933601389736</v>
      </c>
      <c r="H161" s="6">
        <f t="shared" si="4"/>
        <v>14</v>
      </c>
      <c r="I161" s="8">
        <f t="array" ref="I161">MMULT(MMULT(C77:F77,$I$137:$L$140),TRANSPOSE(C77:F77))</f>
        <v>0.13403933601389734</v>
      </c>
    </row>
    <row r="162" spans="2:9">
      <c r="B162" s="6">
        <f t="shared" si="3"/>
        <v>15</v>
      </c>
      <c r="C162" s="8">
        <f t="array" ref="C162">MMULT(MMULT(C29:F29-$C$54:$F$54,$C$137:$F$140),TRANSPOSE(C29:F29-$C$54:$F$54))</f>
        <v>1.1164638842753869</v>
      </c>
      <c r="H162" s="6">
        <f t="shared" si="4"/>
        <v>15</v>
      </c>
      <c r="I162" s="8">
        <f t="array" ref="I162">MMULT(MMULT(C78:F78,$I$137:$L$140),TRANSPOSE(C78:F78))</f>
        <v>1.1164638842753551</v>
      </c>
    </row>
    <row r="163" spans="2:9">
      <c r="B163" s="6">
        <f t="shared" si="3"/>
        <v>16</v>
      </c>
      <c r="C163" s="8">
        <f t="array" ref="C163">MMULT(MMULT(C30:F30-$C$54:$F$54,$C$137:$F$140),TRANSPOSE(C30:F30-$C$54:$F$54))</f>
        <v>17.428352086295206</v>
      </c>
      <c r="H163" s="6">
        <f t="shared" si="4"/>
        <v>16</v>
      </c>
      <c r="I163" s="8">
        <f t="array" ref="I163">MMULT(MMULT(C79:F79,$I$137:$L$140),TRANSPOSE(C79:F79))</f>
        <v>17.428352086295753</v>
      </c>
    </row>
    <row r="164" spans="2:9">
      <c r="B164" s="6">
        <f t="shared" si="3"/>
        <v>17</v>
      </c>
      <c r="C164" s="8">
        <f t="array" ref="C164">MMULT(MMULT(C31:F31-$C$54:$F$54,$C$137:$F$140),TRANSPOSE(C31:F31-$C$54:$F$54))</f>
        <v>3.6225817665990063</v>
      </c>
      <c r="H164" s="6">
        <f t="shared" si="4"/>
        <v>17</v>
      </c>
      <c r="I164" s="8">
        <f t="array" ref="I164">MMULT(MMULT(C80:F80,$I$137:$L$140),TRANSPOSE(C80:F80))</f>
        <v>3.6225817665989895</v>
      </c>
    </row>
    <row r="165" spans="2:9">
      <c r="B165" s="6">
        <f t="shared" si="3"/>
        <v>18</v>
      </c>
      <c r="C165" s="8">
        <f t="array" ref="C165">MMULT(MMULT(C32:F32-$C$54:$F$54,$C$137:$F$140),TRANSPOSE(C32:F32-$C$54:$F$54))</f>
        <v>4.1276485357096604</v>
      </c>
      <c r="H165" s="6">
        <f t="shared" si="4"/>
        <v>18</v>
      </c>
      <c r="I165" s="8">
        <f t="array" ref="I165">MMULT(MMULT(C81:F81,$I$137:$L$140),TRANSPOSE(C81:F81))</f>
        <v>4.1276485357096613</v>
      </c>
    </row>
    <row r="166" spans="2:9">
      <c r="B166" s="6">
        <f t="shared" si="3"/>
        <v>19</v>
      </c>
      <c r="C166" s="8">
        <f t="array" ref="C166">MMULT(MMULT(C33:F33-$C$54:$F$54,$C$137:$F$140),TRANSPOSE(C33:F33-$C$54:$F$54))</f>
        <v>1.4102196779362437</v>
      </c>
      <c r="H166" s="6">
        <f t="shared" si="4"/>
        <v>19</v>
      </c>
      <c r="I166" s="8">
        <f t="array" ref="I166">MMULT(MMULT(C82:F82,$I$137:$L$140),TRANSPOSE(C82:F82))</f>
        <v>1.4102196779362743</v>
      </c>
    </row>
    <row r="167" spans="2:9">
      <c r="B167" s="6">
        <f t="shared" si="3"/>
        <v>20</v>
      </c>
      <c r="C167" s="8">
        <f t="array" ref="C167">MMULT(MMULT(C34:F34-$C$54:$F$54,$C$137:$F$140),TRANSPOSE(C34:F34-$C$54:$F$54))</f>
        <v>1.515507752398308</v>
      </c>
      <c r="H167" s="6">
        <f t="shared" si="4"/>
        <v>20</v>
      </c>
      <c r="I167" s="8">
        <f t="array" ref="I167">MMULT(MMULT(C83:F83,$I$137:$L$140),TRANSPOSE(C83:F83))</f>
        <v>1.5155077523983107</v>
      </c>
    </row>
    <row r="168" spans="2:9">
      <c r="B168" s="6">
        <f t="shared" si="3"/>
        <v>21</v>
      </c>
      <c r="C168" s="8">
        <f t="array" ref="C168">MMULT(MMULT(C35:F35-$C$54:$F$54,$C$137:$F$140),TRANSPOSE(C35:F35-$C$54:$F$54))</f>
        <v>10.239350077961529</v>
      </c>
      <c r="H168" s="6">
        <f t="shared" si="4"/>
        <v>21</v>
      </c>
      <c r="I168" s="8">
        <f t="array" ref="I168">MMULT(MMULT(C84:F84,$I$137:$L$140),TRANSPOSE(C84:F84))</f>
        <v>10.239350077961399</v>
      </c>
    </row>
    <row r="169" spans="2:9">
      <c r="B169" s="6">
        <f t="shared" si="3"/>
        <v>22</v>
      </c>
      <c r="C169" s="8">
        <f t="array" ref="C169">MMULT(MMULT(C36:F36-$C$54:$F$54,$C$137:$F$140),TRANSPOSE(C36:F36-$C$54:$F$54))</f>
        <v>5.2300806220805134</v>
      </c>
      <c r="H169" s="6">
        <f t="shared" si="4"/>
        <v>22</v>
      </c>
      <c r="I169" s="8">
        <f t="array" ref="I169">MMULT(MMULT(C85:F85,$I$137:$L$140),TRANSPOSE(C85:F85))</f>
        <v>5.2300806220807043</v>
      </c>
    </row>
    <row r="170" spans="2:9">
      <c r="B170" s="6">
        <f t="shared" si="3"/>
        <v>23</v>
      </c>
      <c r="C170" s="8">
        <f t="array" ref="C170">MMULT(MMULT(C37:F37-$C$54:$F$54,$C$137:$F$140),TRANSPOSE(C37:F37-$C$54:$F$54))</f>
        <v>0.82366509996993076</v>
      </c>
      <c r="H170" s="6">
        <f t="shared" si="4"/>
        <v>23</v>
      </c>
      <c r="I170" s="8">
        <f t="array" ref="I170">MMULT(MMULT(C86:F86,$I$137:$L$140),TRANSPOSE(C86:F86))</f>
        <v>0.82366509996994386</v>
      </c>
    </row>
    <row r="171" spans="2:9">
      <c r="B171" s="6">
        <f t="shared" si="3"/>
        <v>24</v>
      </c>
      <c r="C171" s="8">
        <f t="array" ref="C171">MMULT(MMULT(C38:F38-$C$54:$F$54,$C$137:$F$140),TRANSPOSE(C38:F38-$C$54:$F$54))</f>
        <v>2.6260940033200795</v>
      </c>
      <c r="H171" s="6">
        <f t="shared" si="4"/>
        <v>24</v>
      </c>
      <c r="I171" s="8">
        <f t="array" ref="I171">MMULT(MMULT(C87:F87,$I$137:$L$140),TRANSPOSE(C87:F87))</f>
        <v>2.6260940033201048</v>
      </c>
    </row>
    <row r="172" spans="2:9">
      <c r="B172" s="6">
        <f t="shared" si="3"/>
        <v>25</v>
      </c>
      <c r="C172" s="8">
        <f t="array" ref="C172">MMULT(MMULT(C39:F39-$C$54:$F$54,$C$137:$F$140),TRANSPOSE(C39:F39-$C$54:$F$54))</f>
        <v>4.7346069541801699</v>
      </c>
      <c r="H172" s="6">
        <f t="shared" si="4"/>
        <v>25</v>
      </c>
      <c r="I172" s="8">
        <f t="array" ref="I172">MMULT(MMULT(C88:F88,$I$137:$L$140),TRANSPOSE(C88:F88))</f>
        <v>4.7346069541802613</v>
      </c>
    </row>
    <row r="173" spans="2:9">
      <c r="B173" s="6">
        <f t="shared" si="3"/>
        <v>26</v>
      </c>
      <c r="C173" s="8">
        <f t="array" ref="C173">MMULT(MMULT(C40:F40-$C$54:$F$54,$C$137:$F$140),TRANSPOSE(C40:F40-$C$54:$F$54))</f>
        <v>3.5151521812106319</v>
      </c>
      <c r="H173" s="6">
        <f t="shared" si="4"/>
        <v>26</v>
      </c>
      <c r="I173" s="8">
        <f t="array" ref="I173">MMULT(MMULT(C89:F89,$I$137:$L$140),TRANSPOSE(C89:F89))</f>
        <v>3.5151521812106381</v>
      </c>
    </row>
    <row r="174" spans="2:9">
      <c r="B174" s="6">
        <f t="shared" si="3"/>
        <v>27</v>
      </c>
      <c r="C174" s="8">
        <f t="array" ref="C174">MMULT(MMULT(C41:F41-$C$54:$F$54,$C$137:$F$140),TRANSPOSE(C41:F41-$C$54:$F$54))</f>
        <v>2.4637292937455149</v>
      </c>
      <c r="H174" s="6">
        <f t="shared" si="4"/>
        <v>27</v>
      </c>
      <c r="I174" s="8">
        <f t="array" ref="I174">MMULT(MMULT(C90:F90,$I$137:$L$140),TRANSPOSE(C90:F90))</f>
        <v>2.4637292937456032</v>
      </c>
    </row>
    <row r="175" spans="2:9">
      <c r="B175" s="6">
        <f t="shared" si="3"/>
        <v>28</v>
      </c>
      <c r="C175" s="8">
        <f t="array" ref="C175">MMULT(MMULT(C42:F42-$C$54:$F$54,$C$137:$F$140),TRANSPOSE(C42:F42-$C$54:$F$54))</f>
        <v>3.0984571217413097</v>
      </c>
      <c r="H175" s="6">
        <f t="shared" si="4"/>
        <v>28</v>
      </c>
      <c r="I175" s="8">
        <f t="array" ref="I175">MMULT(MMULT(C91:F91,$I$137:$L$140),TRANSPOSE(C91:F91))</f>
        <v>3.0984571217413857</v>
      </c>
    </row>
    <row r="176" spans="2:9">
      <c r="B176" s="6">
        <f t="shared" si="3"/>
        <v>29</v>
      </c>
      <c r="C176" s="8">
        <f t="array" ref="C176">MMULT(MMULT(C43:F43-$C$54:$F$54,$C$137:$F$140),TRANSPOSE(C43:F43-$C$54:$F$54))</f>
        <v>6.5004443001296854</v>
      </c>
      <c r="H176" s="6">
        <f t="shared" si="4"/>
        <v>29</v>
      </c>
      <c r="I176" s="8">
        <f t="array" ref="I176">MMULT(MMULT(C92:F92,$I$137:$L$140),TRANSPOSE(C92:F92))</f>
        <v>6.5004443001296393</v>
      </c>
    </row>
    <row r="177" spans="2:11">
      <c r="B177" s="6">
        <f t="shared" si="3"/>
        <v>30</v>
      </c>
      <c r="C177" s="8">
        <f t="array" ref="C177">MMULT(MMULT(C44:F44-$C$54:$F$54,$C$137:$F$140),TRANSPOSE(C44:F44-$C$54:$F$54))</f>
        <v>2.6729158280296659</v>
      </c>
      <c r="H177" s="6">
        <f t="shared" si="4"/>
        <v>30</v>
      </c>
      <c r="I177" s="8">
        <f t="array" ref="I177">MMULT(MMULT(C93:F93,$I$137:$L$140),TRANSPOSE(C93:F93))</f>
        <v>2.6729158280296432</v>
      </c>
    </row>
    <row r="180" spans="2:11">
      <c r="B180" s="253"/>
      <c r="C180" s="253"/>
      <c r="D180" s="253"/>
      <c r="E180" s="253"/>
      <c r="H180" s="155" t="s">
        <v>636</v>
      </c>
      <c r="I180" s="155"/>
      <c r="J180" s="155"/>
      <c r="K180" s="155"/>
    </row>
    <row r="181" spans="2:11">
      <c r="B181" s="253"/>
      <c r="C181" s="253"/>
      <c r="D181" s="253"/>
      <c r="E181" s="253"/>
      <c r="H181" s="155" t="s">
        <v>637</v>
      </c>
      <c r="I181" s="155"/>
      <c r="J181" s="155"/>
      <c r="K181" s="155"/>
    </row>
    <row r="182" spans="2:11">
      <c r="B182" s="253"/>
      <c r="C182" s="253"/>
      <c r="D182" s="253"/>
      <c r="E182" s="253"/>
    </row>
    <row r="185" spans="2:11">
      <c r="B185" s="155" t="s">
        <v>634</v>
      </c>
      <c r="C185" s="155"/>
      <c r="D185" s="155"/>
      <c r="E185" s="155"/>
      <c r="F185" s="155"/>
      <c r="G185" s="155"/>
      <c r="H185" s="155"/>
      <c r="I185" s="155"/>
      <c r="J185" s="155"/>
      <c r="K185" s="155"/>
    </row>
    <row r="186" spans="2:11">
      <c r="B186" s="155" t="s">
        <v>635</v>
      </c>
      <c r="C186" s="155"/>
      <c r="D186" s="155"/>
      <c r="E186" s="155"/>
      <c r="F186" s="155"/>
      <c r="G186" s="155"/>
      <c r="H186" s="155"/>
      <c r="I186" s="155"/>
      <c r="J186" s="155"/>
      <c r="K186" s="155"/>
    </row>
    <row r="188" spans="2:11">
      <c r="B188" s="6" t="s">
        <v>638</v>
      </c>
      <c r="C188" s="8" t="s">
        <v>639</v>
      </c>
      <c r="D188" s="8"/>
      <c r="E188" s="8"/>
      <c r="F188" s="8"/>
      <c r="G188" s="8"/>
      <c r="H188" s="8"/>
      <c r="I188" s="8"/>
    </row>
    <row r="189" spans="2:11">
      <c r="C189" s="8" t="s">
        <v>640</v>
      </c>
      <c r="D189" s="8"/>
      <c r="E189" s="8"/>
      <c r="F189" s="8"/>
      <c r="G189" s="8"/>
      <c r="H189" s="8"/>
      <c r="I189" s="8"/>
    </row>
    <row r="190" spans="2:11">
      <c r="C190" s="8" t="s">
        <v>641</v>
      </c>
      <c r="D190" s="8"/>
      <c r="E190" s="8"/>
      <c r="F190" s="8"/>
      <c r="G190" s="8"/>
      <c r="H190" s="8"/>
      <c r="I190" s="8"/>
    </row>
    <row r="191" spans="2:11">
      <c r="C191" s="8" t="s">
        <v>642</v>
      </c>
      <c r="D191" s="8"/>
      <c r="E191" s="8"/>
      <c r="F191" s="8"/>
      <c r="G191" s="8"/>
      <c r="H191" s="8"/>
      <c r="I191" s="8"/>
    </row>
    <row r="192" spans="2:11">
      <c r="C192" s="8"/>
      <c r="D192" s="8"/>
      <c r="E192" s="8"/>
      <c r="F192" s="8"/>
      <c r="G192" s="8"/>
      <c r="H192" s="8"/>
      <c r="I192" s="8"/>
    </row>
    <row r="196" spans="1:13">
      <c r="A196" s="18" t="s">
        <v>646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9" spans="1:13">
      <c r="B199" s="6" t="s">
        <v>385</v>
      </c>
      <c r="C199" s="6" t="s">
        <v>632</v>
      </c>
    </row>
    <row r="200" spans="1:13">
      <c r="B200" s="6">
        <v>14</v>
      </c>
      <c r="C200" s="8">
        <v>0.13403933601389736</v>
      </c>
    </row>
    <row r="201" spans="1:13">
      <c r="B201" s="6">
        <v>12</v>
      </c>
      <c r="C201" s="8">
        <v>0.47949916525418501</v>
      </c>
    </row>
    <row r="202" spans="1:13">
      <c r="B202" s="6">
        <v>1</v>
      </c>
      <c r="C202" s="8">
        <v>0.62070295811858922</v>
      </c>
    </row>
    <row r="203" spans="1:13">
      <c r="B203" s="6">
        <v>10</v>
      </c>
      <c r="C203" s="8">
        <v>0.79297238320962837</v>
      </c>
    </row>
    <row r="204" spans="1:13">
      <c r="B204" s="6">
        <v>23</v>
      </c>
      <c r="C204" s="8">
        <v>0.82366509996993076</v>
      </c>
    </row>
    <row r="205" spans="1:13">
      <c r="B205" s="6">
        <v>15</v>
      </c>
      <c r="C205" s="8">
        <v>1.1164638842753869</v>
      </c>
    </row>
    <row r="206" spans="1:13">
      <c r="B206" s="6">
        <v>19</v>
      </c>
      <c r="C206" s="8">
        <v>1.4102196779362437</v>
      </c>
    </row>
    <row r="207" spans="1:13">
      <c r="B207" s="6">
        <v>5</v>
      </c>
      <c r="C207" s="8">
        <v>1.4462871984432488</v>
      </c>
    </row>
    <row r="208" spans="1:13">
      <c r="B208" s="6">
        <v>20</v>
      </c>
      <c r="C208" s="8">
        <v>1.515507752398308</v>
      </c>
    </row>
    <row r="209" spans="2:3">
      <c r="B209" s="6">
        <v>8</v>
      </c>
      <c r="C209" s="8">
        <v>1.5389554850713316</v>
      </c>
    </row>
    <row r="210" spans="2:3">
      <c r="B210" s="6">
        <v>11</v>
      </c>
      <c r="C210" s="8">
        <v>1.9973556638960888</v>
      </c>
    </row>
    <row r="211" spans="2:3">
      <c r="B211" s="6">
        <v>6</v>
      </c>
      <c r="C211" s="8">
        <v>2.2956629672094602</v>
      </c>
    </row>
    <row r="212" spans="2:3">
      <c r="B212" s="6">
        <v>27</v>
      </c>
      <c r="C212" s="8">
        <v>2.4637292937455149</v>
      </c>
    </row>
    <row r="213" spans="2:3">
      <c r="B213" s="6">
        <v>24</v>
      </c>
      <c r="C213" s="8">
        <v>2.6260940033200795</v>
      </c>
    </row>
    <row r="214" spans="2:3">
      <c r="B214" s="6">
        <v>30</v>
      </c>
      <c r="C214" s="8">
        <v>2.6729158280296659</v>
      </c>
    </row>
    <row r="215" spans="2:3">
      <c r="B215" s="6">
        <v>13</v>
      </c>
      <c r="C215" s="8">
        <v>2.7888645323767003</v>
      </c>
    </row>
    <row r="216" spans="2:3">
      <c r="B216" s="6">
        <v>28</v>
      </c>
      <c r="C216" s="8">
        <v>3.0984571217413097</v>
      </c>
    </row>
    <row r="217" spans="2:3">
      <c r="B217" s="6">
        <v>26</v>
      </c>
      <c r="C217" s="8">
        <v>3.5151521812106319</v>
      </c>
    </row>
    <row r="218" spans="2:3">
      <c r="B218" s="6">
        <v>17</v>
      </c>
      <c r="C218" s="8">
        <v>3.6225817665990063</v>
      </c>
    </row>
    <row r="219" spans="2:3">
      <c r="B219" s="6">
        <v>18</v>
      </c>
      <c r="C219" s="8">
        <v>4.1276485357096604</v>
      </c>
    </row>
    <row r="220" spans="2:3">
      <c r="B220" s="6">
        <v>25</v>
      </c>
      <c r="C220" s="8">
        <v>4.7346069541801699</v>
      </c>
    </row>
    <row r="221" spans="2:3">
      <c r="B221" s="6">
        <v>7</v>
      </c>
      <c r="C221" s="8">
        <v>5.1603618546286096</v>
      </c>
    </row>
    <row r="222" spans="2:3">
      <c r="B222" s="6">
        <v>22</v>
      </c>
      <c r="C222" s="8">
        <v>5.2300806220805134</v>
      </c>
    </row>
    <row r="223" spans="2:3">
      <c r="B223" s="6">
        <v>4</v>
      </c>
      <c r="C223" s="8">
        <v>5.3871825556452508</v>
      </c>
    </row>
    <row r="224" spans="2:3">
      <c r="B224" s="6">
        <v>2</v>
      </c>
      <c r="C224" s="8">
        <v>5.6658823360800383</v>
      </c>
    </row>
    <row r="225" spans="1:13">
      <c r="B225" s="6">
        <v>29</v>
      </c>
      <c r="C225" s="8">
        <v>6.5004443001296854</v>
      </c>
    </row>
    <row r="226" spans="1:13">
      <c r="B226" s="6">
        <v>3</v>
      </c>
      <c r="C226" s="8">
        <v>7.879286798552732</v>
      </c>
    </row>
    <row r="227" spans="1:13">
      <c r="B227" s="6">
        <v>21</v>
      </c>
      <c r="C227" s="8">
        <v>10.239350077961529</v>
      </c>
    </row>
    <row r="228" spans="1:13">
      <c r="B228" s="6">
        <v>9</v>
      </c>
      <c r="C228" s="8">
        <v>12.687677579916334</v>
      </c>
    </row>
    <row r="229" spans="1:13">
      <c r="B229" s="6">
        <v>16</v>
      </c>
      <c r="C229" s="8">
        <v>17.428352086295206</v>
      </c>
    </row>
    <row r="233" spans="1:13">
      <c r="A233" s="18" t="s">
        <v>647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6" spans="1:13">
      <c r="B236" s="6" t="s">
        <v>385</v>
      </c>
      <c r="C236" s="6" t="s">
        <v>648</v>
      </c>
    </row>
    <row r="237" spans="1:13">
      <c r="B237" s="6">
        <v>1</v>
      </c>
      <c r="C237" s="8">
        <f>(B237-0.5)/COUNTA($B$237:$B$266)</f>
        <v>1.6666666666666666E-2</v>
      </c>
    </row>
    <row r="238" spans="1:13">
      <c r="B238" s="6">
        <f>B237+1</f>
        <v>2</v>
      </c>
      <c r="C238" s="8">
        <f t="shared" ref="C238:C266" si="5">(B238-0.5)/COUNTA($B$237:$B$266)</f>
        <v>0.05</v>
      </c>
    </row>
    <row r="239" spans="1:13">
      <c r="B239" s="6">
        <f t="shared" ref="B239:B266" si="6">B238+1</f>
        <v>3</v>
      </c>
      <c r="C239" s="8">
        <f t="shared" si="5"/>
        <v>8.3333333333333329E-2</v>
      </c>
    </row>
    <row r="240" spans="1:13">
      <c r="B240" s="6">
        <f t="shared" si="6"/>
        <v>4</v>
      </c>
      <c r="C240" s="8">
        <f t="shared" si="5"/>
        <v>0.11666666666666667</v>
      </c>
    </row>
    <row r="241" spans="2:3">
      <c r="B241" s="6">
        <f t="shared" si="6"/>
        <v>5</v>
      </c>
      <c r="C241" s="8">
        <f t="shared" si="5"/>
        <v>0.15</v>
      </c>
    </row>
    <row r="242" spans="2:3">
      <c r="B242" s="6">
        <f t="shared" si="6"/>
        <v>6</v>
      </c>
      <c r="C242" s="8">
        <f t="shared" si="5"/>
        <v>0.18333333333333332</v>
      </c>
    </row>
    <row r="243" spans="2:3">
      <c r="B243" s="6">
        <f t="shared" si="6"/>
        <v>7</v>
      </c>
      <c r="C243" s="8">
        <f t="shared" si="5"/>
        <v>0.21666666666666667</v>
      </c>
    </row>
    <row r="244" spans="2:3">
      <c r="B244" s="6">
        <f t="shared" si="6"/>
        <v>8</v>
      </c>
      <c r="C244" s="8">
        <f t="shared" si="5"/>
        <v>0.25</v>
      </c>
    </row>
    <row r="245" spans="2:3">
      <c r="B245" s="6">
        <f t="shared" si="6"/>
        <v>9</v>
      </c>
      <c r="C245" s="8">
        <f t="shared" si="5"/>
        <v>0.28333333333333333</v>
      </c>
    </row>
    <row r="246" spans="2:3">
      <c r="B246" s="6">
        <f t="shared" si="6"/>
        <v>10</v>
      </c>
      <c r="C246" s="8">
        <f t="shared" si="5"/>
        <v>0.31666666666666665</v>
      </c>
    </row>
    <row r="247" spans="2:3">
      <c r="B247" s="6">
        <f t="shared" si="6"/>
        <v>11</v>
      </c>
      <c r="C247" s="8">
        <f t="shared" si="5"/>
        <v>0.35</v>
      </c>
    </row>
    <row r="248" spans="2:3">
      <c r="B248" s="6">
        <f t="shared" si="6"/>
        <v>12</v>
      </c>
      <c r="C248" s="8">
        <f t="shared" si="5"/>
        <v>0.38333333333333336</v>
      </c>
    </row>
    <row r="249" spans="2:3">
      <c r="B249" s="6">
        <f t="shared" si="6"/>
        <v>13</v>
      </c>
      <c r="C249" s="8">
        <f t="shared" si="5"/>
        <v>0.41666666666666669</v>
      </c>
    </row>
    <row r="250" spans="2:3">
      <c r="B250" s="6">
        <f t="shared" si="6"/>
        <v>14</v>
      </c>
      <c r="C250" s="8">
        <f t="shared" si="5"/>
        <v>0.45</v>
      </c>
    </row>
    <row r="251" spans="2:3">
      <c r="B251" s="6">
        <f t="shared" si="6"/>
        <v>15</v>
      </c>
      <c r="C251" s="8">
        <f t="shared" si="5"/>
        <v>0.48333333333333334</v>
      </c>
    </row>
    <row r="252" spans="2:3">
      <c r="B252" s="6">
        <f t="shared" si="6"/>
        <v>16</v>
      </c>
      <c r="C252" s="8">
        <f t="shared" si="5"/>
        <v>0.51666666666666672</v>
      </c>
    </row>
    <row r="253" spans="2:3">
      <c r="B253" s="6">
        <f t="shared" si="6"/>
        <v>17</v>
      </c>
      <c r="C253" s="8">
        <f t="shared" si="5"/>
        <v>0.55000000000000004</v>
      </c>
    </row>
    <row r="254" spans="2:3">
      <c r="B254" s="6">
        <f t="shared" si="6"/>
        <v>18</v>
      </c>
      <c r="C254" s="8">
        <f t="shared" si="5"/>
        <v>0.58333333333333337</v>
      </c>
    </row>
    <row r="255" spans="2:3">
      <c r="B255" s="6">
        <f t="shared" si="6"/>
        <v>19</v>
      </c>
      <c r="C255" s="8">
        <f t="shared" si="5"/>
        <v>0.6166666666666667</v>
      </c>
    </row>
    <row r="256" spans="2:3">
      <c r="B256" s="6">
        <f t="shared" si="6"/>
        <v>20</v>
      </c>
      <c r="C256" s="8">
        <f t="shared" si="5"/>
        <v>0.65</v>
      </c>
    </row>
    <row r="257" spans="1:13">
      <c r="B257" s="6">
        <f t="shared" si="6"/>
        <v>21</v>
      </c>
      <c r="C257" s="8">
        <f t="shared" si="5"/>
        <v>0.68333333333333335</v>
      </c>
    </row>
    <row r="258" spans="1:13">
      <c r="B258" s="6">
        <f t="shared" si="6"/>
        <v>22</v>
      </c>
      <c r="C258" s="8">
        <f t="shared" si="5"/>
        <v>0.71666666666666667</v>
      </c>
    </row>
    <row r="259" spans="1:13">
      <c r="B259" s="6">
        <f t="shared" si="6"/>
        <v>23</v>
      </c>
      <c r="C259" s="8">
        <f t="shared" si="5"/>
        <v>0.75</v>
      </c>
    </row>
    <row r="260" spans="1:13">
      <c r="B260" s="6">
        <f t="shared" si="6"/>
        <v>24</v>
      </c>
      <c r="C260" s="8">
        <f t="shared" si="5"/>
        <v>0.78333333333333333</v>
      </c>
    </row>
    <row r="261" spans="1:13">
      <c r="B261" s="6">
        <f t="shared" si="6"/>
        <v>25</v>
      </c>
      <c r="C261" s="8">
        <f t="shared" si="5"/>
        <v>0.81666666666666665</v>
      </c>
    </row>
    <row r="262" spans="1:13">
      <c r="B262" s="6">
        <f t="shared" si="6"/>
        <v>26</v>
      </c>
      <c r="C262" s="8">
        <f t="shared" si="5"/>
        <v>0.85</v>
      </c>
    </row>
    <row r="263" spans="1:13">
      <c r="B263" s="6">
        <f t="shared" si="6"/>
        <v>27</v>
      </c>
      <c r="C263" s="8">
        <f t="shared" si="5"/>
        <v>0.8833333333333333</v>
      </c>
    </row>
    <row r="264" spans="1:13">
      <c r="B264" s="6">
        <f t="shared" si="6"/>
        <v>28</v>
      </c>
      <c r="C264" s="8">
        <f t="shared" si="5"/>
        <v>0.91666666666666663</v>
      </c>
    </row>
    <row r="265" spans="1:13">
      <c r="B265" s="6">
        <f t="shared" si="6"/>
        <v>29</v>
      </c>
      <c r="C265" s="8">
        <f t="shared" si="5"/>
        <v>0.95</v>
      </c>
    </row>
    <row r="266" spans="1:13">
      <c r="B266" s="6">
        <f t="shared" si="6"/>
        <v>30</v>
      </c>
      <c r="C266" s="8">
        <f t="shared" si="5"/>
        <v>0.98333333333333328</v>
      </c>
    </row>
    <row r="270" spans="1:13">
      <c r="A270" s="18" t="s">
        <v>649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3" spans="2:6">
      <c r="B273" s="6" t="s">
        <v>385</v>
      </c>
      <c r="C273" s="6" t="s">
        <v>650</v>
      </c>
    </row>
    <row r="274" spans="2:6">
      <c r="B274" s="6">
        <v>1</v>
      </c>
      <c r="C274" s="8">
        <f>_xlfn.CHISQ.INV(C237,COUNTA($C$14:$F$14))</f>
        <v>0.38942731907740313</v>
      </c>
      <c r="E274" s="159" t="s">
        <v>651</v>
      </c>
      <c r="F274" s="159"/>
    </row>
    <row r="275" spans="2:6">
      <c r="B275" s="6">
        <f>B274+1</f>
        <v>2</v>
      </c>
      <c r="C275" s="8">
        <f t="shared" ref="C275:C303" si="7">_xlfn.CHISQ.INV(C238,COUNTA($C$14:$F$14))</f>
        <v>0.71072302139732424</v>
      </c>
    </row>
    <row r="276" spans="2:6">
      <c r="B276" s="6">
        <f t="shared" ref="B276:B303" si="8">B275+1</f>
        <v>3</v>
      </c>
      <c r="C276" s="8">
        <f t="shared" si="7"/>
        <v>0.95415097747121425</v>
      </c>
    </row>
    <row r="277" spans="2:6">
      <c r="B277" s="6">
        <f t="shared" si="8"/>
        <v>4</v>
      </c>
      <c r="C277" s="8">
        <f t="shared" si="7"/>
        <v>1.1680322333717634</v>
      </c>
    </row>
    <row r="278" spans="2:6">
      <c r="B278" s="6">
        <f t="shared" si="8"/>
        <v>5</v>
      </c>
      <c r="C278" s="8">
        <f t="shared" si="7"/>
        <v>1.3664772261418807</v>
      </c>
    </row>
    <row r="279" spans="2:6">
      <c r="B279" s="6">
        <f t="shared" si="8"/>
        <v>6</v>
      </c>
      <c r="C279" s="8">
        <f t="shared" si="7"/>
        <v>1.5560612521221138</v>
      </c>
    </row>
    <row r="280" spans="2:6">
      <c r="B280" s="6">
        <f t="shared" si="8"/>
        <v>7</v>
      </c>
      <c r="C280" s="8">
        <f t="shared" si="7"/>
        <v>1.7405819752647345</v>
      </c>
    </row>
    <row r="281" spans="2:6">
      <c r="B281" s="6">
        <f t="shared" si="8"/>
        <v>8</v>
      </c>
      <c r="C281" s="8">
        <f t="shared" si="7"/>
        <v>1.9225575262295547</v>
      </c>
    </row>
    <row r="282" spans="2:6">
      <c r="B282" s="6">
        <f t="shared" si="8"/>
        <v>9</v>
      </c>
      <c r="C282" s="8">
        <f t="shared" si="7"/>
        <v>2.1038415087137405</v>
      </c>
    </row>
    <row r="283" spans="2:6">
      <c r="B283" s="6">
        <f t="shared" si="8"/>
        <v>10</v>
      </c>
      <c r="C283" s="8">
        <f t="shared" si="7"/>
        <v>2.2859220489612433</v>
      </c>
    </row>
    <row r="284" spans="2:6">
      <c r="B284" s="6">
        <f t="shared" si="8"/>
        <v>11</v>
      </c>
      <c r="C284" s="8">
        <f t="shared" si="7"/>
        <v>2.4700873874753086</v>
      </c>
    </row>
    <row r="285" spans="2:6">
      <c r="B285" s="6">
        <f t="shared" si="8"/>
        <v>12</v>
      </c>
      <c r="C285" s="8">
        <f t="shared" si="7"/>
        <v>2.6575290666278732</v>
      </c>
    </row>
    <row r="286" spans="2:6">
      <c r="B286" s="6">
        <f t="shared" si="8"/>
        <v>13</v>
      </c>
      <c r="C286" s="8">
        <f t="shared" si="7"/>
        <v>2.8494146572050654</v>
      </c>
    </row>
    <row r="287" spans="2:6">
      <c r="B287" s="6">
        <f t="shared" si="8"/>
        <v>14</v>
      </c>
      <c r="C287" s="8">
        <f t="shared" si="7"/>
        <v>3.0469464242728361</v>
      </c>
    </row>
    <row r="288" spans="2:6">
      <c r="B288" s="6">
        <f t="shared" si="8"/>
        <v>15</v>
      </c>
      <c r="C288" s="8">
        <f t="shared" si="7"/>
        <v>3.2514157793747342</v>
      </c>
    </row>
    <row r="289" spans="2:3">
      <c r="B289" s="6">
        <f t="shared" si="8"/>
        <v>16</v>
      </c>
      <c r="C289" s="8">
        <f t="shared" si="7"/>
        <v>3.4642608107428186</v>
      </c>
    </row>
    <row r="290" spans="2:3">
      <c r="B290" s="6">
        <f t="shared" si="8"/>
        <v>17</v>
      </c>
      <c r="C290" s="8">
        <f t="shared" si="7"/>
        <v>3.6871338340838928</v>
      </c>
    </row>
    <row r="291" spans="2:3">
      <c r="B291" s="6">
        <f t="shared" si="8"/>
        <v>18</v>
      </c>
      <c r="C291" s="8">
        <f t="shared" si="7"/>
        <v>3.9219872756152636</v>
      </c>
    </row>
    <row r="292" spans="2:3">
      <c r="B292" s="6">
        <f t="shared" si="8"/>
        <v>19</v>
      </c>
      <c r="C292" s="8">
        <f t="shared" si="7"/>
        <v>4.1711895673206945</v>
      </c>
    </row>
    <row r="293" spans="2:3">
      <c r="B293" s="6">
        <f t="shared" si="8"/>
        <v>20</v>
      </c>
      <c r="C293" s="8">
        <f t="shared" si="7"/>
        <v>4.4376891993848027</v>
      </c>
    </row>
    <row r="294" spans="2:3">
      <c r="B294" s="6">
        <f t="shared" si="8"/>
        <v>21</v>
      </c>
      <c r="C294" s="8">
        <f t="shared" si="7"/>
        <v>4.725257122020988</v>
      </c>
    </row>
    <row r="295" spans="2:3">
      <c r="B295" s="6">
        <f t="shared" si="8"/>
        <v>22</v>
      </c>
      <c r="C295" s="8">
        <f t="shared" si="7"/>
        <v>5.0388607343452625</v>
      </c>
    </row>
    <row r="296" spans="2:3">
      <c r="B296" s="6">
        <f t="shared" si="8"/>
        <v>23</v>
      </c>
      <c r="C296" s="8">
        <f t="shared" si="7"/>
        <v>5.3852690577793911</v>
      </c>
    </row>
    <row r="297" spans="2:3">
      <c r="B297" s="6">
        <f t="shared" si="8"/>
        <v>24</v>
      </c>
      <c r="C297" s="8">
        <f t="shared" si="7"/>
        <v>5.7740884748677574</v>
      </c>
    </row>
    <row r="298" spans="2:3">
      <c r="B298" s="6">
        <f t="shared" si="8"/>
        <v>25</v>
      </c>
      <c r="C298" s="8">
        <f t="shared" si="7"/>
        <v>6.2196625229813991</v>
      </c>
    </row>
    <row r="299" spans="2:3">
      <c r="B299" s="6">
        <f t="shared" si="8"/>
        <v>26</v>
      </c>
      <c r="C299" s="8">
        <f t="shared" si="7"/>
        <v>6.7448830872124201</v>
      </c>
    </row>
    <row r="300" spans="2:3">
      <c r="B300" s="6">
        <f t="shared" si="8"/>
        <v>27</v>
      </c>
      <c r="C300" s="8">
        <f t="shared" si="7"/>
        <v>7.3898285293504804</v>
      </c>
    </row>
    <row r="301" spans="2:3">
      <c r="B301" s="6">
        <f t="shared" si="8"/>
        <v>28</v>
      </c>
      <c r="C301" s="8">
        <f t="shared" si="7"/>
        <v>8.2351806833220298</v>
      </c>
    </row>
    <row r="302" spans="2:3">
      <c r="B302" s="6">
        <f t="shared" si="8"/>
        <v>29</v>
      </c>
      <c r="C302" s="8">
        <f t="shared" si="7"/>
        <v>9.4877290367811575</v>
      </c>
    </row>
    <row r="303" spans="2:3">
      <c r="B303" s="6">
        <f t="shared" si="8"/>
        <v>30</v>
      </c>
      <c r="C303" s="8">
        <f t="shared" si="7"/>
        <v>12.093875437027382</v>
      </c>
    </row>
    <row r="307" spans="1:13">
      <c r="A307" s="24" t="s">
        <v>652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10" spans="1:13">
      <c r="B310" s="6" t="s">
        <v>6</v>
      </c>
      <c r="C310" s="109" t="s">
        <v>658</v>
      </c>
      <c r="D310" s="164"/>
      <c r="E310" s="164"/>
      <c r="F310" s="164"/>
      <c r="G310" s="164"/>
      <c r="H310" s="164"/>
      <c r="I310" s="164"/>
      <c r="J310" s="164"/>
    </row>
    <row r="311" spans="1:13">
      <c r="C311" s="109" t="s">
        <v>653</v>
      </c>
      <c r="D311" s="164"/>
      <c r="E311" s="164"/>
      <c r="F311" s="164"/>
      <c r="G311" s="164"/>
      <c r="H311" s="164"/>
      <c r="I311" s="164"/>
      <c r="J311" s="164"/>
    </row>
    <row r="312" spans="1:13">
      <c r="C312" s="109" t="s">
        <v>654</v>
      </c>
      <c r="D312" s="164"/>
      <c r="E312" s="164"/>
      <c r="F312" s="164"/>
      <c r="G312" s="164"/>
      <c r="H312" s="164"/>
      <c r="I312" s="164"/>
      <c r="J312" s="164"/>
    </row>
    <row r="313" spans="1:13">
      <c r="C313" s="164" t="s">
        <v>656</v>
      </c>
      <c r="D313" s="164"/>
      <c r="E313" s="164"/>
      <c r="F313" s="164"/>
      <c r="G313" s="164"/>
      <c r="H313" s="164"/>
      <c r="I313" s="164"/>
      <c r="J313" s="164"/>
    </row>
    <row r="314" spans="1:13">
      <c r="C314" s="109" t="s">
        <v>657</v>
      </c>
      <c r="D314" s="164"/>
      <c r="E314" s="164"/>
      <c r="F314" s="164"/>
      <c r="G314" s="164"/>
      <c r="H314" s="164"/>
      <c r="I314" s="164"/>
      <c r="J314" s="164"/>
    </row>
    <row r="316" spans="1:13">
      <c r="C316" s="6" t="s">
        <v>655</v>
      </c>
    </row>
    <row r="317" spans="1:13">
      <c r="C317" s="8">
        <v>0</v>
      </c>
    </row>
    <row r="318" spans="1:13">
      <c r="C318" s="8">
        <v>20</v>
      </c>
    </row>
    <row r="320" spans="1:13">
      <c r="C320" s="159"/>
      <c r="D320" s="159"/>
      <c r="E320" s="159"/>
      <c r="F320" s="159"/>
      <c r="G320" s="159"/>
      <c r="H320" s="159"/>
      <c r="I320" s="159"/>
      <c r="J320" s="159"/>
    </row>
    <row r="321" spans="3:10">
      <c r="C321" s="159"/>
      <c r="D321" s="159"/>
      <c r="E321" s="159"/>
      <c r="F321" s="159"/>
      <c r="G321" s="159"/>
      <c r="H321" s="159"/>
      <c r="I321" s="159"/>
      <c r="J321" s="159"/>
    </row>
    <row r="322" spans="3:10">
      <c r="C322" s="159"/>
      <c r="D322" s="159"/>
      <c r="E322" s="159"/>
      <c r="F322" s="159"/>
      <c r="G322" s="159"/>
      <c r="H322" s="159"/>
      <c r="I322" s="159"/>
      <c r="J322" s="159"/>
    </row>
    <row r="323" spans="3:10">
      <c r="C323" s="159"/>
      <c r="D323" s="159"/>
      <c r="E323" s="159"/>
      <c r="F323" s="159"/>
      <c r="G323" s="159"/>
      <c r="H323" s="159"/>
      <c r="I323" s="159"/>
      <c r="J323" s="159"/>
    </row>
    <row r="324" spans="3:10">
      <c r="C324" s="159"/>
      <c r="D324" s="159"/>
      <c r="E324" s="159"/>
      <c r="F324" s="159"/>
      <c r="G324" s="159"/>
      <c r="H324" s="159"/>
      <c r="I324" s="159"/>
      <c r="J324" s="159"/>
    </row>
    <row r="325" spans="3:10">
      <c r="C325" s="159"/>
      <c r="D325" s="159"/>
      <c r="E325" s="159"/>
      <c r="F325" s="159"/>
      <c r="G325" s="159"/>
      <c r="H325" s="159"/>
      <c r="I325" s="159"/>
      <c r="J325" s="159"/>
    </row>
    <row r="326" spans="3:10">
      <c r="C326" s="159"/>
      <c r="D326" s="159"/>
      <c r="E326" s="159"/>
      <c r="F326" s="159"/>
      <c r="G326" s="159"/>
      <c r="H326" s="159"/>
      <c r="I326" s="159"/>
      <c r="J326" s="159"/>
    </row>
    <row r="327" spans="3:10">
      <c r="C327" s="159"/>
      <c r="D327" s="159"/>
      <c r="E327" s="159"/>
      <c r="F327" s="159"/>
      <c r="G327" s="159"/>
      <c r="H327" s="159"/>
      <c r="I327" s="159"/>
      <c r="J327" s="159"/>
    </row>
    <row r="328" spans="3:10">
      <c r="C328" s="159"/>
      <c r="D328" s="159"/>
      <c r="E328" s="159"/>
      <c r="F328" s="159" t="s">
        <v>45</v>
      </c>
      <c r="G328" s="159"/>
      <c r="H328" s="159"/>
      <c r="I328" s="159"/>
      <c r="J328" s="159"/>
    </row>
    <row r="329" spans="3:10">
      <c r="C329" s="159"/>
      <c r="D329" s="159"/>
      <c r="E329" s="159"/>
      <c r="F329" s="159"/>
      <c r="G329" s="159"/>
      <c r="H329" s="159"/>
      <c r="I329" s="159"/>
      <c r="J329" s="159"/>
    </row>
    <row r="330" spans="3:10">
      <c r="C330" s="159"/>
      <c r="D330" s="159"/>
      <c r="E330" s="159"/>
      <c r="F330" s="159"/>
      <c r="G330" s="159"/>
      <c r="H330" s="159"/>
      <c r="I330" s="159"/>
      <c r="J330" s="159"/>
    </row>
    <row r="331" spans="3:10">
      <c r="C331" s="159"/>
      <c r="D331" s="159"/>
      <c r="E331" s="159"/>
      <c r="F331" s="159"/>
      <c r="G331" s="159"/>
      <c r="H331" s="159"/>
      <c r="I331" s="159"/>
      <c r="J331" s="159"/>
    </row>
    <row r="332" spans="3:10">
      <c r="C332" s="159"/>
      <c r="D332" s="159"/>
      <c r="E332" s="159"/>
      <c r="F332" s="159"/>
      <c r="G332" s="159"/>
      <c r="H332" s="159"/>
      <c r="I332" s="159"/>
      <c r="J332" s="159"/>
    </row>
    <row r="333" spans="3:10">
      <c r="C333" s="159"/>
      <c r="D333" s="159"/>
      <c r="E333" s="159"/>
      <c r="F333" s="159"/>
      <c r="G333" s="159"/>
      <c r="H333" s="159"/>
      <c r="I333" s="159"/>
      <c r="J333" s="159"/>
    </row>
    <row r="334" spans="3:10">
      <c r="C334" s="159"/>
      <c r="D334" s="159"/>
      <c r="E334" s="159"/>
      <c r="F334" s="159"/>
      <c r="G334" s="159"/>
      <c r="H334" s="159"/>
      <c r="I334" s="159"/>
      <c r="J334" s="159"/>
    </row>
    <row r="335" spans="3:10">
      <c r="C335" s="159"/>
      <c r="D335" s="159"/>
      <c r="E335" s="159"/>
      <c r="F335" s="159"/>
      <c r="G335" s="159"/>
      <c r="H335" s="159"/>
      <c r="I335" s="159"/>
      <c r="J335" s="159"/>
    </row>
    <row r="336" spans="3:10">
      <c r="C336" s="159"/>
      <c r="D336" s="159"/>
      <c r="E336" s="159"/>
      <c r="F336" s="159"/>
      <c r="G336" s="159"/>
      <c r="H336" s="159"/>
      <c r="I336" s="159"/>
      <c r="J336" s="159"/>
    </row>
    <row r="337" spans="1:13">
      <c r="C337" s="159"/>
      <c r="D337" s="159"/>
      <c r="E337" s="159"/>
      <c r="F337" s="159"/>
      <c r="G337" s="159"/>
      <c r="H337" s="159"/>
      <c r="I337" s="159"/>
      <c r="J337" s="159"/>
    </row>
    <row r="338" spans="1:13">
      <c r="C338" s="159"/>
      <c r="D338" s="159"/>
      <c r="E338" s="159"/>
      <c r="F338" s="159"/>
      <c r="G338" s="159"/>
      <c r="H338" s="159"/>
      <c r="I338" s="159"/>
      <c r="J338" s="159"/>
    </row>
    <row r="339" spans="1:13">
      <c r="C339" s="159"/>
      <c r="D339" s="159"/>
      <c r="E339" s="159"/>
      <c r="F339" s="159"/>
      <c r="G339" s="159"/>
      <c r="H339" s="159"/>
      <c r="I339" s="159"/>
      <c r="J339" s="159"/>
    </row>
    <row r="343" spans="1:13">
      <c r="A343" s="24" t="s">
        <v>659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6" spans="1:13">
      <c r="B346" s="6" t="s">
        <v>539</v>
      </c>
      <c r="C346" s="8">
        <f>CORREL(C274:C303,C200:C229)</f>
        <v>0.97893287649410454</v>
      </c>
    </row>
    <row r="348" spans="1:13">
      <c r="B348" s="6" t="s">
        <v>596</v>
      </c>
      <c r="C348" s="8" t="s">
        <v>597</v>
      </c>
      <c r="D348" s="8"/>
      <c r="E348" s="8"/>
      <c r="F348" s="8"/>
      <c r="G348" s="8"/>
      <c r="H348" s="8"/>
      <c r="I348" s="8"/>
    </row>
    <row r="349" spans="1:13">
      <c r="C349" s="8" t="s">
        <v>660</v>
      </c>
      <c r="D349" s="8"/>
      <c r="E349" s="8"/>
      <c r="F349" s="8"/>
      <c r="G349" s="8"/>
      <c r="H349" s="8"/>
      <c r="I349" s="8"/>
    </row>
    <row r="350" spans="1:13">
      <c r="C350" s="101" t="s">
        <v>661</v>
      </c>
      <c r="D350" s="8"/>
      <c r="E350" s="8"/>
      <c r="F350" s="8"/>
      <c r="G350" s="8"/>
      <c r="H350" s="8"/>
      <c r="I350" s="8"/>
    </row>
    <row r="351" spans="1:13">
      <c r="C351" s="101" t="s">
        <v>662</v>
      </c>
      <c r="D351" s="8"/>
      <c r="E351" s="8"/>
      <c r="F351" s="8"/>
      <c r="G351" s="8"/>
      <c r="H351" s="8"/>
      <c r="I351" s="8"/>
    </row>
    <row r="352" spans="1:13">
      <c r="C352" s="101" t="s">
        <v>663</v>
      </c>
      <c r="D352" s="8"/>
      <c r="E352" s="8"/>
      <c r="F352" s="8"/>
      <c r="G352" s="8"/>
      <c r="H352" s="8"/>
      <c r="I352" s="8"/>
    </row>
    <row r="353" spans="3:9">
      <c r="C353" s="101" t="s">
        <v>664</v>
      </c>
      <c r="D353" s="8"/>
      <c r="E353" s="8"/>
      <c r="F353" s="8"/>
      <c r="G353" s="8"/>
      <c r="H353" s="8"/>
      <c r="I353" s="8"/>
    </row>
    <row r="354" spans="3:9">
      <c r="C354" s="101" t="s">
        <v>665</v>
      </c>
      <c r="D354" s="8"/>
      <c r="E354" s="8"/>
      <c r="F354" s="8"/>
      <c r="G354" s="8"/>
      <c r="H354" s="8"/>
      <c r="I354" s="8"/>
    </row>
    <row r="355" spans="3:9">
      <c r="C355" s="101"/>
      <c r="D355" s="8"/>
      <c r="E355" s="8"/>
      <c r="F355" s="8"/>
      <c r="G355" s="8"/>
      <c r="H355" s="8"/>
      <c r="I355" s="8"/>
    </row>
    <row r="357" spans="3:9">
      <c r="C357" s="159"/>
      <c r="D357" s="159"/>
      <c r="E357" s="159"/>
      <c r="F357" s="159"/>
      <c r="G357" s="159"/>
      <c r="H357" s="159"/>
      <c r="I357" s="159"/>
    </row>
    <row r="358" spans="3:9">
      <c r="C358" s="159"/>
      <c r="D358" s="159"/>
      <c r="E358" s="159"/>
      <c r="F358" s="159"/>
      <c r="G358" s="159"/>
      <c r="H358" s="159"/>
      <c r="I358" s="159"/>
    </row>
    <row r="359" spans="3:9">
      <c r="C359" s="159"/>
      <c r="D359" s="159"/>
      <c r="E359" s="159"/>
      <c r="F359" s="159"/>
      <c r="G359" s="159"/>
      <c r="H359" s="159"/>
      <c r="I359" s="159"/>
    </row>
    <row r="360" spans="3:9">
      <c r="C360" s="159"/>
      <c r="D360" s="159"/>
      <c r="E360" s="159"/>
      <c r="F360" s="159"/>
      <c r="G360" s="159"/>
      <c r="H360" s="159"/>
      <c r="I360" s="159"/>
    </row>
    <row r="361" spans="3:9">
      <c r="C361" s="159"/>
      <c r="D361" s="159"/>
      <c r="E361" s="159"/>
      <c r="F361" s="159"/>
      <c r="G361" s="159"/>
      <c r="H361" s="159"/>
      <c r="I361" s="159"/>
    </row>
    <row r="362" spans="3:9">
      <c r="C362" s="159"/>
      <c r="D362" s="159"/>
      <c r="E362" s="159"/>
      <c r="F362" s="159"/>
      <c r="G362" s="159"/>
      <c r="H362" s="159"/>
      <c r="I362" s="159"/>
    </row>
    <row r="363" spans="3:9">
      <c r="C363" s="159"/>
      <c r="D363" s="159"/>
      <c r="E363" s="159"/>
      <c r="F363" s="159"/>
      <c r="G363" s="159"/>
      <c r="H363" s="159"/>
      <c r="I363" s="159"/>
    </row>
    <row r="364" spans="3:9">
      <c r="C364" s="159"/>
      <c r="D364" s="159"/>
      <c r="E364" s="159"/>
      <c r="F364" s="159"/>
      <c r="G364" s="159"/>
      <c r="H364" s="159"/>
      <c r="I364" s="159"/>
    </row>
    <row r="365" spans="3:9">
      <c r="C365" s="159"/>
      <c r="D365" s="159"/>
      <c r="E365" s="159"/>
      <c r="F365" s="159"/>
      <c r="G365" s="159"/>
      <c r="H365" s="159"/>
      <c r="I365" s="159"/>
    </row>
    <row r="366" spans="3:9">
      <c r="C366" s="159"/>
      <c r="D366" s="159"/>
      <c r="E366" s="159"/>
      <c r="F366" s="159"/>
      <c r="G366" s="159"/>
      <c r="H366" s="159"/>
      <c r="I366" s="159"/>
    </row>
    <row r="367" spans="3:9">
      <c r="C367" s="159"/>
      <c r="D367" s="159"/>
      <c r="E367" s="159"/>
      <c r="F367" s="159"/>
      <c r="G367" s="159"/>
      <c r="H367" s="159"/>
      <c r="I367" s="159"/>
    </row>
    <row r="368" spans="3:9">
      <c r="C368" s="159"/>
      <c r="D368" s="159"/>
      <c r="E368" s="159"/>
      <c r="F368" s="159"/>
      <c r="G368" s="159"/>
      <c r="H368" s="159"/>
      <c r="I368" s="159"/>
    </row>
    <row r="369" spans="3:9">
      <c r="C369" s="159"/>
      <c r="D369" s="159"/>
      <c r="E369" s="159"/>
      <c r="F369" s="159"/>
      <c r="G369" s="159"/>
      <c r="H369" s="159"/>
      <c r="I369" s="159"/>
    </row>
    <row r="370" spans="3:9">
      <c r="C370" s="159"/>
      <c r="D370" s="159"/>
      <c r="E370" s="159"/>
      <c r="F370" s="159"/>
      <c r="G370" s="159"/>
      <c r="H370" s="159"/>
      <c r="I370" s="159"/>
    </row>
    <row r="371" spans="3:9">
      <c r="C371" s="159"/>
      <c r="D371" s="159"/>
      <c r="E371" s="159"/>
      <c r="F371" s="159"/>
      <c r="G371" s="159"/>
      <c r="H371" s="159"/>
      <c r="I371" s="159"/>
    </row>
    <row r="372" spans="3:9">
      <c r="C372" s="159"/>
      <c r="D372" s="159"/>
      <c r="E372" s="159"/>
      <c r="F372" s="159"/>
      <c r="G372" s="159"/>
      <c r="H372" s="159"/>
      <c r="I372" s="159"/>
    </row>
    <row r="373" spans="3:9">
      <c r="C373" s="159"/>
      <c r="D373" s="159"/>
      <c r="E373" s="159"/>
      <c r="F373" s="159"/>
      <c r="G373" s="159"/>
      <c r="H373" s="159"/>
      <c r="I373" s="159"/>
    </row>
    <row r="374" spans="3:9">
      <c r="C374" s="159"/>
      <c r="D374" s="159"/>
      <c r="E374" s="159"/>
      <c r="F374" s="159"/>
      <c r="G374" s="159"/>
      <c r="H374" s="159"/>
      <c r="I374" s="159"/>
    </row>
    <row r="375" spans="3:9">
      <c r="C375" s="159"/>
      <c r="D375" s="159"/>
      <c r="E375" s="159"/>
      <c r="F375" s="159"/>
      <c r="G375" s="159"/>
      <c r="H375" s="159"/>
      <c r="I375" s="159"/>
    </row>
    <row r="376" spans="3:9">
      <c r="C376" s="159"/>
      <c r="D376" s="159"/>
      <c r="E376" s="159"/>
      <c r="F376" s="159"/>
      <c r="G376" s="159"/>
      <c r="H376" s="159"/>
      <c r="I376" s="159"/>
    </row>
    <row r="377" spans="3:9">
      <c r="C377" s="159"/>
      <c r="D377" s="159"/>
      <c r="E377" s="159"/>
      <c r="F377" s="159"/>
      <c r="G377" s="159"/>
      <c r="H377" s="159"/>
      <c r="I377" s="159"/>
    </row>
    <row r="378" spans="3:9">
      <c r="C378" s="159"/>
      <c r="D378" s="159"/>
      <c r="E378" s="159"/>
      <c r="F378" s="159"/>
      <c r="G378" s="159"/>
      <c r="H378" s="159"/>
      <c r="I378" s="159"/>
    </row>
    <row r="379" spans="3:9">
      <c r="C379" s="159"/>
      <c r="D379" s="159"/>
      <c r="E379" s="159"/>
      <c r="F379" s="159"/>
      <c r="G379" s="159"/>
      <c r="H379" s="159"/>
      <c r="I379" s="159"/>
    </row>
    <row r="380" spans="3:9">
      <c r="C380" s="159"/>
      <c r="D380" s="159"/>
      <c r="E380" s="159"/>
      <c r="F380" s="159"/>
      <c r="G380" s="159"/>
      <c r="H380" s="159"/>
      <c r="I380" s="159"/>
    </row>
  </sheetData>
  <mergeCells count="1">
    <mergeCell ref="B180:E18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41"/>
  <sheetViews>
    <sheetView zoomScaleNormal="100" workbookViewId="0">
      <selection activeCell="D370" sqref="D370"/>
    </sheetView>
  </sheetViews>
  <sheetFormatPr baseColWidth="10" defaultRowHeight="12.75"/>
  <cols>
    <col min="2" max="2" width="18" customWidth="1"/>
    <col min="3" max="3" width="18.85546875" customWidth="1"/>
    <col min="4" max="4" width="16.140625" bestFit="1" customWidth="1"/>
    <col min="7" max="7" width="16.28515625" customWidth="1"/>
    <col min="11" max="11" width="14.42578125" customWidth="1"/>
    <col min="13" max="13" width="16.7109375" customWidth="1"/>
    <col min="19" max="19" width="15" bestFit="1" customWidth="1"/>
    <col min="20" max="20" width="16.140625" bestFit="1" customWidth="1"/>
  </cols>
  <sheetData>
    <row r="1" spans="1:53" s="10" customFormat="1" ht="20.25">
      <c r="A1" s="10" t="s">
        <v>666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5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5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53">
      <c r="A7" t="s">
        <v>734</v>
      </c>
      <c r="K7" s="21"/>
      <c r="L7" s="21"/>
      <c r="M7" s="21"/>
    </row>
    <row r="8" spans="1:53">
      <c r="A8" t="s">
        <v>735</v>
      </c>
      <c r="K8" s="21"/>
      <c r="L8" s="21"/>
      <c r="M8" s="21"/>
    </row>
    <row r="9" spans="1:53">
      <c r="A9" t="s">
        <v>736</v>
      </c>
      <c r="K9" s="21"/>
      <c r="L9" s="21"/>
      <c r="M9" s="21"/>
    </row>
    <row r="10" spans="1:53">
      <c r="A10" t="s">
        <v>737</v>
      </c>
      <c r="K10" s="21"/>
      <c r="L10" s="21"/>
      <c r="M10" s="21"/>
    </row>
    <row r="11" spans="1:53">
      <c r="A11" t="s">
        <v>706</v>
      </c>
      <c r="K11" s="21"/>
      <c r="L11" s="21"/>
      <c r="M11" s="21"/>
    </row>
    <row r="12" spans="1:53">
      <c r="A12" t="s">
        <v>738</v>
      </c>
      <c r="K12" s="21"/>
      <c r="L12" s="21"/>
      <c r="M12" s="21"/>
    </row>
    <row r="13" spans="1:53">
      <c r="A13" t="s">
        <v>739</v>
      </c>
      <c r="K13" s="21"/>
      <c r="L13" s="21"/>
      <c r="M13" s="21"/>
    </row>
    <row r="14" spans="1:5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53">
      <c r="A15" s="21" t="s">
        <v>740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5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5">
      <c r="B17" t="s">
        <v>689</v>
      </c>
    </row>
    <row r="18" spans="2:5">
      <c r="B18" s="6" t="s">
        <v>692</v>
      </c>
      <c r="C18" s="6" t="s">
        <v>650</v>
      </c>
    </row>
    <row r="19" spans="2:5">
      <c r="B19" s="164">
        <v>0.05</v>
      </c>
      <c r="C19" s="164">
        <f>_xlfn.CHISQ.INV(1-B19,2)</f>
        <v>5.9914645471079799</v>
      </c>
      <c r="D19" s="159" t="s">
        <v>695</v>
      </c>
      <c r="E19" s="159"/>
    </row>
    <row r="20" spans="2:5" ht="12" customHeight="1"/>
    <row r="21" spans="2:5">
      <c r="B21" s="6" t="s">
        <v>707</v>
      </c>
      <c r="C21" s="6" t="s">
        <v>256</v>
      </c>
      <c r="D21" s="6" t="s">
        <v>708</v>
      </c>
      <c r="E21" s="6" t="s">
        <v>709</v>
      </c>
    </row>
    <row r="22" spans="2:5">
      <c r="B22" s="6">
        <v>1</v>
      </c>
      <c r="C22" s="172">
        <v>17.876000000000001</v>
      </c>
      <c r="D22" s="172">
        <v>2.456</v>
      </c>
      <c r="E22" s="159" t="s">
        <v>668</v>
      </c>
    </row>
    <row r="23" spans="2:5">
      <c r="B23" s="6">
        <f t="shared" ref="B23:B78" si="0">B22+1</f>
        <v>2</v>
      </c>
      <c r="C23" s="172">
        <v>20.8103399134894</v>
      </c>
      <c r="D23" s="172">
        <v>1.653</v>
      </c>
      <c r="E23" s="159" t="s">
        <v>668</v>
      </c>
    </row>
    <row r="24" spans="2:5">
      <c r="B24" s="6">
        <f t="shared" si="0"/>
        <v>3</v>
      </c>
      <c r="C24" s="172">
        <v>17.694314927315698</v>
      </c>
      <c r="D24" s="172">
        <v>0.99025078711056869</v>
      </c>
      <c r="E24" s="159" t="s">
        <v>668</v>
      </c>
    </row>
    <row r="25" spans="2:5">
      <c r="B25" s="6">
        <f t="shared" si="0"/>
        <v>4</v>
      </c>
      <c r="C25" s="172">
        <v>19.3929514400889</v>
      </c>
      <c r="D25" s="172">
        <v>0.71609086605214312</v>
      </c>
      <c r="E25" s="159" t="s">
        <v>668</v>
      </c>
    </row>
    <row r="26" spans="2:5">
      <c r="B26" s="6">
        <f t="shared" si="0"/>
        <v>5</v>
      </c>
      <c r="C26" s="172">
        <v>15.820714863796301</v>
      </c>
      <c r="D26" s="172">
        <v>2.4951215667661915</v>
      </c>
      <c r="E26" s="159" t="s">
        <v>668</v>
      </c>
    </row>
    <row r="27" spans="2:5">
      <c r="B27" s="6">
        <f t="shared" si="0"/>
        <v>6</v>
      </c>
      <c r="C27" s="172">
        <v>18.032032415945</v>
      </c>
      <c r="D27" s="172">
        <v>1.9930000000000001</v>
      </c>
      <c r="E27" s="159" t="s">
        <v>668</v>
      </c>
    </row>
    <row r="28" spans="2:5">
      <c r="B28" s="6">
        <f t="shared" si="0"/>
        <v>7</v>
      </c>
      <c r="C28" s="172">
        <v>14.3304918249652</v>
      </c>
      <c r="D28" s="172">
        <v>2.1999</v>
      </c>
      <c r="E28" s="159" t="s">
        <v>668</v>
      </c>
    </row>
    <row r="29" spans="2:5">
      <c r="B29" s="6">
        <f t="shared" si="0"/>
        <v>8</v>
      </c>
      <c r="C29" s="172">
        <v>14.3676671400261</v>
      </c>
      <c r="D29" s="172">
        <v>2.7601393452104181</v>
      </c>
      <c r="E29" s="159" t="s">
        <v>668</v>
      </c>
    </row>
    <row r="30" spans="2:5">
      <c r="B30" s="6">
        <f t="shared" si="0"/>
        <v>9</v>
      </c>
      <c r="C30" s="172">
        <v>24.492319157259601</v>
      </c>
      <c r="D30" s="172">
        <v>0.6546066380564598</v>
      </c>
      <c r="E30" s="159" t="s">
        <v>668</v>
      </c>
    </row>
    <row r="31" spans="2:5">
      <c r="B31" s="6">
        <f t="shared" si="0"/>
        <v>10</v>
      </c>
      <c r="C31" s="172">
        <v>21.279546515039101</v>
      </c>
      <c r="D31" s="172">
        <v>1.086368078283922</v>
      </c>
      <c r="E31" s="159" t="s">
        <v>668</v>
      </c>
    </row>
    <row r="32" spans="2:5">
      <c r="B32" s="6">
        <f t="shared" si="0"/>
        <v>11</v>
      </c>
      <c r="C32" s="172">
        <v>22.3967648762737</v>
      </c>
      <c r="D32" s="172">
        <v>0.78591964835349126</v>
      </c>
      <c r="E32" s="159" t="s">
        <v>668</v>
      </c>
    </row>
    <row r="33" spans="2:5">
      <c r="B33" s="6">
        <f t="shared" si="0"/>
        <v>12</v>
      </c>
      <c r="C33" s="172">
        <v>21.030810943724902</v>
      </c>
      <c r="D33" s="172">
        <v>1.0529364977079734</v>
      </c>
      <c r="E33" s="159" t="s">
        <v>668</v>
      </c>
    </row>
    <row r="34" spans="2:5">
      <c r="B34" s="6">
        <f t="shared" si="0"/>
        <v>13</v>
      </c>
      <c r="C34" s="172">
        <v>20.878015795945</v>
      </c>
      <c r="D34" s="172">
        <v>0.66305495407967063</v>
      </c>
      <c r="E34" s="159" t="s">
        <v>668</v>
      </c>
    </row>
    <row r="35" spans="2:5">
      <c r="B35" s="6">
        <f t="shared" si="0"/>
        <v>14</v>
      </c>
      <c r="C35" s="172">
        <v>21.492581498487699</v>
      </c>
      <c r="D35" s="172">
        <v>1.3650151158327173</v>
      </c>
      <c r="E35" s="159" t="s">
        <v>668</v>
      </c>
    </row>
    <row r="36" spans="2:5">
      <c r="B36" s="6">
        <f t="shared" si="0"/>
        <v>15</v>
      </c>
      <c r="C36" s="172">
        <v>21.138828688829602</v>
      </c>
      <c r="D36" s="172">
        <v>1.0235932390041083</v>
      </c>
      <c r="E36" s="159" t="s">
        <v>668</v>
      </c>
    </row>
    <row r="37" spans="2:5">
      <c r="B37" s="6">
        <f t="shared" si="0"/>
        <v>16</v>
      </c>
      <c r="C37" s="172">
        <v>21.395341085245299</v>
      </c>
      <c r="D37" s="172">
        <v>1.1605164387646234</v>
      </c>
      <c r="E37" s="159" t="s">
        <v>668</v>
      </c>
    </row>
    <row r="38" spans="2:5">
      <c r="B38" s="6">
        <f t="shared" si="0"/>
        <v>17</v>
      </c>
      <c r="C38" s="172">
        <v>21.2995106952818</v>
      </c>
      <c r="D38" s="172">
        <v>0.85138844563348581</v>
      </c>
      <c r="E38" s="159" t="s">
        <v>668</v>
      </c>
    </row>
    <row r="39" spans="2:5">
      <c r="B39" s="6">
        <f t="shared" si="0"/>
        <v>18</v>
      </c>
      <c r="C39" s="172">
        <v>22.349127905198099</v>
      </c>
      <c r="D39" s="172">
        <v>0.78028381055389029</v>
      </c>
      <c r="E39" s="159" t="s">
        <v>668</v>
      </c>
    </row>
    <row r="40" spans="2:5">
      <c r="B40" s="6">
        <f t="shared" si="0"/>
        <v>19</v>
      </c>
      <c r="C40" s="172">
        <v>21.619082436531599</v>
      </c>
      <c r="D40" s="172">
        <v>0.91464124697076754</v>
      </c>
      <c r="E40" s="159" t="s">
        <v>668</v>
      </c>
    </row>
    <row r="41" spans="2:5">
      <c r="B41" s="6">
        <f t="shared" si="0"/>
        <v>20</v>
      </c>
      <c r="C41" s="172">
        <v>22.957691848466801</v>
      </c>
      <c r="D41" s="172">
        <v>3.2786673075158701</v>
      </c>
      <c r="E41" s="159" t="s">
        <v>669</v>
      </c>
    </row>
    <row r="42" spans="2:5">
      <c r="B42" s="6">
        <f t="shared" si="0"/>
        <v>21</v>
      </c>
      <c r="C42" s="172">
        <v>23.468435025130699</v>
      </c>
      <c r="D42" s="172">
        <v>2.5700063419822872</v>
      </c>
      <c r="E42" s="159" t="s">
        <v>669</v>
      </c>
    </row>
    <row r="43" spans="2:5">
      <c r="B43" s="6">
        <f t="shared" si="0"/>
        <v>22</v>
      </c>
      <c r="C43" s="172">
        <v>25.890106145797599</v>
      </c>
      <c r="D43" s="172">
        <v>2.1875697521846873</v>
      </c>
      <c r="E43" s="159" t="s">
        <v>669</v>
      </c>
    </row>
    <row r="44" spans="2:5">
      <c r="B44" s="6">
        <f t="shared" si="0"/>
        <v>23</v>
      </c>
      <c r="C44" s="172">
        <v>29.661506266264201</v>
      </c>
      <c r="D44" s="172">
        <v>1.9930000000000001</v>
      </c>
      <c r="E44" s="159" t="s">
        <v>669</v>
      </c>
    </row>
    <row r="45" spans="2:5">
      <c r="B45" s="6">
        <f t="shared" si="0"/>
        <v>24</v>
      </c>
      <c r="C45" s="172">
        <v>17.4810872488355</v>
      </c>
      <c r="D45" s="172">
        <v>3.7976325768294572</v>
      </c>
      <c r="E45" s="159" t="s">
        <v>669</v>
      </c>
    </row>
    <row r="46" spans="2:5">
      <c r="B46" s="6">
        <f t="shared" si="0"/>
        <v>25</v>
      </c>
      <c r="C46" s="172">
        <v>13.377998976286509</v>
      </c>
      <c r="D46" s="172">
        <v>4.2917481631029695</v>
      </c>
      <c r="E46" s="159" t="s">
        <v>669</v>
      </c>
    </row>
    <row r="47" spans="2:5">
      <c r="B47" s="6">
        <f t="shared" si="0"/>
        <v>26</v>
      </c>
      <c r="C47" s="172">
        <v>14.952697230726701</v>
      </c>
      <c r="D47" s="172">
        <v>4.6763853940906399</v>
      </c>
      <c r="E47" s="159" t="s">
        <v>669</v>
      </c>
    </row>
    <row r="48" spans="2:5">
      <c r="B48" s="6">
        <f t="shared" si="0"/>
        <v>27</v>
      </c>
      <c r="C48" s="172">
        <v>20.869693677314402</v>
      </c>
      <c r="D48" s="172">
        <v>3.7526707058847313</v>
      </c>
      <c r="E48" s="159" t="s">
        <v>669</v>
      </c>
    </row>
    <row r="49" spans="2:5">
      <c r="B49" s="6">
        <f t="shared" si="0"/>
        <v>28</v>
      </c>
      <c r="C49" s="172">
        <v>14.778989902436599</v>
      </c>
      <c r="D49" s="172">
        <v>4.0053157395703147</v>
      </c>
      <c r="E49" s="159" t="s">
        <v>669</v>
      </c>
    </row>
    <row r="50" spans="2:5">
      <c r="B50" s="6">
        <f t="shared" si="0"/>
        <v>29</v>
      </c>
      <c r="C50" s="172">
        <v>20.911065507415099</v>
      </c>
      <c r="D50" s="172">
        <v>2.3789819632957814</v>
      </c>
      <c r="E50" s="159" t="s">
        <v>669</v>
      </c>
    </row>
    <row r="51" spans="2:5">
      <c r="B51" s="6">
        <f t="shared" si="0"/>
        <v>30</v>
      </c>
      <c r="C51" s="172">
        <v>23.051352696916702</v>
      </c>
      <c r="D51" s="172">
        <v>2.0358583104884271</v>
      </c>
      <c r="E51" s="159" t="s">
        <v>669</v>
      </c>
    </row>
    <row r="52" spans="2:5">
      <c r="B52" s="6">
        <f t="shared" si="0"/>
        <v>31</v>
      </c>
      <c r="C52" s="172">
        <v>25.792804322451801</v>
      </c>
      <c r="D52" s="172">
        <v>1.7991002722407445</v>
      </c>
      <c r="E52" s="159" t="s">
        <v>669</v>
      </c>
    </row>
    <row r="53" spans="2:5">
      <c r="B53" s="6">
        <f t="shared" si="0"/>
        <v>32</v>
      </c>
      <c r="C53" s="172">
        <v>26.989364763111499</v>
      </c>
      <c r="D53" s="172">
        <v>2.0260966143560188</v>
      </c>
      <c r="E53" s="159" t="s">
        <v>669</v>
      </c>
    </row>
    <row r="54" spans="2:5">
      <c r="B54" s="6">
        <f t="shared" si="0"/>
        <v>33</v>
      </c>
      <c r="C54" s="172">
        <v>26.3934318818492</v>
      </c>
      <c r="D54" s="172">
        <v>2.4932397650206299</v>
      </c>
      <c r="E54" s="159" t="s">
        <v>669</v>
      </c>
    </row>
    <row r="55" spans="2:5">
      <c r="B55" s="6">
        <f t="shared" si="0"/>
        <v>34</v>
      </c>
      <c r="C55" s="172">
        <v>27.141329779307402</v>
      </c>
      <c r="D55" s="172">
        <v>2.2064087535448951</v>
      </c>
      <c r="E55" s="159" t="s">
        <v>669</v>
      </c>
    </row>
    <row r="56" spans="2:5">
      <c r="B56" s="6">
        <f t="shared" si="0"/>
        <v>35</v>
      </c>
      <c r="C56" s="172">
        <v>26.465379096851599</v>
      </c>
      <c r="D56" s="172">
        <v>2.2194727487159795</v>
      </c>
      <c r="E56" s="159" t="s">
        <v>669</v>
      </c>
    </row>
    <row r="57" spans="2:5">
      <c r="B57" s="6">
        <f t="shared" si="0"/>
        <v>36</v>
      </c>
      <c r="C57" s="172">
        <v>25.239641678711699</v>
      </c>
      <c r="D57" s="172">
        <v>2.3895416252504083</v>
      </c>
      <c r="E57" s="159" t="s">
        <v>669</v>
      </c>
    </row>
    <row r="58" spans="2:5">
      <c r="B58" s="6">
        <f t="shared" si="0"/>
        <v>37</v>
      </c>
      <c r="C58" s="172">
        <v>25.4629356550689</v>
      </c>
      <c r="D58" s="172">
        <v>2.8886945972626346</v>
      </c>
      <c r="E58" s="159" t="s">
        <v>669</v>
      </c>
    </row>
    <row r="59" spans="2:5">
      <c r="B59" s="6">
        <f t="shared" si="0"/>
        <v>38</v>
      </c>
      <c r="C59" s="172">
        <v>27.510572666276399</v>
      </c>
      <c r="D59" s="172">
        <v>2.302703926093661</v>
      </c>
      <c r="E59" s="159" t="s">
        <v>669</v>
      </c>
    </row>
    <row r="60" spans="2:5">
      <c r="B60" s="6">
        <f t="shared" si="0"/>
        <v>39</v>
      </c>
      <c r="C60" s="172">
        <v>12.8066695404329</v>
      </c>
      <c r="D60" s="172">
        <v>1.5812167060681355</v>
      </c>
      <c r="E60" s="159" t="s">
        <v>670</v>
      </c>
    </row>
    <row r="61" spans="2:5">
      <c r="B61" s="6">
        <f t="shared" si="0"/>
        <v>40</v>
      </c>
      <c r="C61" s="172">
        <v>14.449667551600701</v>
      </c>
      <c r="D61" s="172">
        <v>1.4860824966264592</v>
      </c>
      <c r="E61" s="159" t="s">
        <v>670</v>
      </c>
    </row>
    <row r="62" spans="2:5">
      <c r="B62" s="6">
        <f t="shared" si="0"/>
        <v>41</v>
      </c>
      <c r="C62" s="172">
        <v>17.750322581925701</v>
      </c>
      <c r="D62" s="172">
        <v>1.5335002808036511</v>
      </c>
      <c r="E62" s="159" t="s">
        <v>670</v>
      </c>
    </row>
    <row r="63" spans="2:5">
      <c r="B63" s="6">
        <f t="shared" si="0"/>
        <v>42</v>
      </c>
      <c r="C63" s="172">
        <v>20.371762093735001</v>
      </c>
      <c r="D63" s="172">
        <v>1.5972645940202717</v>
      </c>
      <c r="E63" s="159" t="s">
        <v>670</v>
      </c>
    </row>
    <row r="64" spans="2:5">
      <c r="B64" s="6">
        <f t="shared" si="0"/>
        <v>43</v>
      </c>
      <c r="C64" s="172">
        <v>11.831096204919501</v>
      </c>
      <c r="D64" s="172">
        <v>1.2402455826246845</v>
      </c>
      <c r="E64" s="159" t="s">
        <v>670</v>
      </c>
    </row>
    <row r="65" spans="2:5">
      <c r="B65" s="6">
        <f t="shared" si="0"/>
        <v>44</v>
      </c>
      <c r="C65" s="172">
        <v>7.6466240745915997</v>
      </c>
      <c r="D65" s="172">
        <v>2.0389381098016366</v>
      </c>
      <c r="E65" s="159" t="s">
        <v>670</v>
      </c>
    </row>
    <row r="66" spans="2:5">
      <c r="B66" s="6">
        <f t="shared" si="0"/>
        <v>45</v>
      </c>
      <c r="C66" s="172">
        <v>5.5033107921515398</v>
      </c>
      <c r="D66" s="172">
        <v>2.122563604941031</v>
      </c>
      <c r="E66" s="159" t="s">
        <v>670</v>
      </c>
    </row>
    <row r="67" spans="2:5">
      <c r="B67" s="6">
        <f t="shared" si="0"/>
        <v>46</v>
      </c>
      <c r="C67" s="172">
        <v>9.0340000000000007</v>
      </c>
      <c r="D67" s="172">
        <v>1.923</v>
      </c>
      <c r="E67" s="159" t="s">
        <v>670</v>
      </c>
    </row>
    <row r="68" spans="2:5">
      <c r="B68" s="6">
        <f t="shared" si="0"/>
        <v>47</v>
      </c>
      <c r="C68" s="172">
        <v>9.6329252956793994</v>
      </c>
      <c r="D68" s="172">
        <v>2.3314230677928376</v>
      </c>
      <c r="E68" s="159" t="s">
        <v>670</v>
      </c>
    </row>
    <row r="69" spans="2:5">
      <c r="B69" s="6">
        <f t="shared" si="0"/>
        <v>48</v>
      </c>
      <c r="C69" s="172">
        <v>15.365418587720502</v>
      </c>
      <c r="D69" s="172">
        <v>1.9600587510079703</v>
      </c>
      <c r="E69" s="159" t="s">
        <v>670</v>
      </c>
    </row>
    <row r="70" spans="2:5">
      <c r="B70" s="6">
        <f t="shared" si="0"/>
        <v>49</v>
      </c>
      <c r="C70" s="172">
        <v>17.8432823351929</v>
      </c>
      <c r="D70" s="172">
        <v>1.4835008956607858</v>
      </c>
      <c r="E70" s="159" t="s">
        <v>670</v>
      </c>
    </row>
    <row r="71" spans="2:5">
      <c r="B71" s="6">
        <f t="shared" si="0"/>
        <v>50</v>
      </c>
      <c r="C71" s="172">
        <v>15.995980506880102</v>
      </c>
      <c r="D71" s="172">
        <v>1.9747477487688423</v>
      </c>
      <c r="E71" s="159" t="s">
        <v>670</v>
      </c>
    </row>
    <row r="72" spans="2:5">
      <c r="B72" s="6">
        <f t="shared" si="0"/>
        <v>51</v>
      </c>
      <c r="C72" s="172">
        <v>18.376018111738102</v>
      </c>
      <c r="D72" s="172">
        <v>0.97686927120331679</v>
      </c>
      <c r="E72" s="159" t="s">
        <v>670</v>
      </c>
    </row>
    <row r="73" spans="2:5">
      <c r="B73" s="6">
        <f t="shared" si="0"/>
        <v>52</v>
      </c>
      <c r="C73" s="172">
        <v>14.8623944616118</v>
      </c>
      <c r="D73" s="172">
        <v>1.1567031024761172</v>
      </c>
      <c r="E73" s="159" t="s">
        <v>670</v>
      </c>
    </row>
    <row r="74" spans="2:5">
      <c r="B74" s="6">
        <f t="shared" si="0"/>
        <v>53</v>
      </c>
      <c r="C74" s="172">
        <v>15.563550283104199</v>
      </c>
      <c r="D74" s="172">
        <v>1.0837545025233131</v>
      </c>
      <c r="E74" s="159" t="s">
        <v>670</v>
      </c>
    </row>
    <row r="75" spans="2:5">
      <c r="B75" s="6">
        <f t="shared" si="0"/>
        <v>54</v>
      </c>
      <c r="C75" s="172">
        <v>15.060202072217201</v>
      </c>
      <c r="D75" s="172">
        <v>2.1489866661507051</v>
      </c>
      <c r="E75" s="159" t="s">
        <v>670</v>
      </c>
    </row>
    <row r="76" spans="2:5">
      <c r="B76" s="6">
        <f t="shared" si="0"/>
        <v>55</v>
      </c>
      <c r="C76" s="172">
        <v>14.728847168249601</v>
      </c>
      <c r="D76" s="172">
        <v>1.4684815222978076</v>
      </c>
      <c r="E76" s="159" t="s">
        <v>670</v>
      </c>
    </row>
    <row r="77" spans="2:5">
      <c r="B77" s="6">
        <f t="shared" si="0"/>
        <v>56</v>
      </c>
      <c r="C77" s="172">
        <v>18.346878659338799</v>
      </c>
      <c r="D77" s="172">
        <v>1.7237418786072713</v>
      </c>
      <c r="E77" s="159" t="s">
        <v>670</v>
      </c>
    </row>
    <row r="78" spans="2:5">
      <c r="B78" s="6">
        <f t="shared" si="0"/>
        <v>57</v>
      </c>
      <c r="C78" s="172">
        <v>20.222999999999999</v>
      </c>
      <c r="D78" s="172">
        <v>0.64743174175156937</v>
      </c>
      <c r="E78" s="159" t="s">
        <v>670</v>
      </c>
    </row>
    <row r="82" spans="1:13" ht="15.75">
      <c r="A82" s="15" t="s">
        <v>6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5" spans="1:13">
      <c r="A85" s="24" t="s">
        <v>720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8" spans="1:13">
      <c r="B88" s="6" t="s">
        <v>328</v>
      </c>
      <c r="C88" s="8">
        <f>AVERAGE(C22:C78)</f>
        <v>19.148850470416697</v>
      </c>
      <c r="D88" s="8">
        <f>AVERAGE(D22:D78)</f>
        <v>1.9188321361217013</v>
      </c>
    </row>
    <row r="89" spans="1:13">
      <c r="B89" s="6" t="s">
        <v>396</v>
      </c>
      <c r="C89" s="8">
        <f>_xlfn.STDEV.P(C22:C78)</f>
        <v>5.2694254923606607</v>
      </c>
      <c r="D89" s="8">
        <f>_xlfn.STDEV.P(D22:D78)</f>
        <v>0.92931887536050362</v>
      </c>
    </row>
    <row r="93" spans="1:13">
      <c r="A93" s="24" t="s">
        <v>564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6" spans="1:13">
      <c r="B96" s="6" t="s">
        <v>707</v>
      </c>
      <c r="C96" s="6" t="s">
        <v>710</v>
      </c>
      <c r="D96" s="6" t="s">
        <v>711</v>
      </c>
      <c r="E96" s="6" t="s">
        <v>709</v>
      </c>
    </row>
    <row r="97" spans="2:5">
      <c r="B97" s="6">
        <v>1</v>
      </c>
      <c r="C97" s="8">
        <f t="shared" ref="C97:D116" si="1">(C22-C$88)/C$89</f>
        <v>-0.24155393643235079</v>
      </c>
      <c r="D97" s="8">
        <f t="shared" si="1"/>
        <v>0.57802319324453533</v>
      </c>
      <c r="E97" s="159" t="s">
        <v>668</v>
      </c>
    </row>
    <row r="98" spans="2:5">
      <c r="B98" s="6">
        <f t="shared" ref="B98:B153" si="2">B97+1</f>
        <v>2</v>
      </c>
      <c r="C98" s="8">
        <f t="shared" si="1"/>
        <v>0.3153075122670288</v>
      </c>
      <c r="D98" s="8">
        <f t="shared" si="1"/>
        <v>-0.28605050771036916</v>
      </c>
      <c r="E98" s="159" t="s">
        <v>668</v>
      </c>
    </row>
    <row r="99" spans="2:5">
      <c r="B99" s="6">
        <f t="shared" si="2"/>
        <v>3</v>
      </c>
      <c r="C99" s="8">
        <f t="shared" si="1"/>
        <v>-0.27603304102310749</v>
      </c>
      <c r="D99" s="8">
        <f t="shared" si="1"/>
        <v>-0.99920637967340875</v>
      </c>
      <c r="E99" s="159" t="s">
        <v>668</v>
      </c>
    </row>
    <row r="100" spans="2:5">
      <c r="B100" s="6">
        <f t="shared" si="2"/>
        <v>4</v>
      </c>
      <c r="C100" s="8">
        <f t="shared" si="1"/>
        <v>4.6324019577862578E-2</v>
      </c>
      <c r="D100" s="8">
        <f t="shared" si="1"/>
        <v>-1.2942180579330083</v>
      </c>
      <c r="E100" s="159" t="s">
        <v>668</v>
      </c>
    </row>
    <row r="101" spans="2:5">
      <c r="B101" s="6">
        <f t="shared" si="2"/>
        <v>5</v>
      </c>
      <c r="C101" s="8">
        <f t="shared" si="1"/>
        <v>-0.63159363605109409</v>
      </c>
      <c r="D101" s="8">
        <f t="shared" si="1"/>
        <v>0.62012022560171776</v>
      </c>
      <c r="E101" s="159" t="s">
        <v>668</v>
      </c>
    </row>
    <row r="102" spans="2:5">
      <c r="B102" s="6">
        <f t="shared" si="2"/>
        <v>6</v>
      </c>
      <c r="C102" s="8">
        <f t="shared" si="1"/>
        <v>-0.21194303934855926</v>
      </c>
      <c r="D102" s="8">
        <f t="shared" si="1"/>
        <v>7.9808842631682683E-2</v>
      </c>
      <c r="E102" s="159" t="s">
        <v>668</v>
      </c>
    </row>
    <row r="103" spans="2:5">
      <c r="B103" s="6">
        <f t="shared" si="2"/>
        <v>7</v>
      </c>
      <c r="C103" s="8">
        <f t="shared" si="1"/>
        <v>-0.91439923620457342</v>
      </c>
      <c r="D103" s="8">
        <f t="shared" si="1"/>
        <v>0.30244501788394873</v>
      </c>
      <c r="E103" s="159" t="s">
        <v>668</v>
      </c>
    </row>
    <row r="104" spans="2:5">
      <c r="B104" s="6">
        <f t="shared" si="2"/>
        <v>8</v>
      </c>
      <c r="C104" s="8">
        <f t="shared" si="1"/>
        <v>-0.90734432763535766</v>
      </c>
      <c r="D104" s="8">
        <f t="shared" si="1"/>
        <v>0.90529443810377241</v>
      </c>
      <c r="E104" s="159" t="s">
        <v>668</v>
      </c>
    </row>
    <row r="105" spans="2:5">
      <c r="B105" s="6">
        <f t="shared" si="2"/>
        <v>9</v>
      </c>
      <c r="C105" s="8">
        <f t="shared" si="1"/>
        <v>1.0140514738446511</v>
      </c>
      <c r="D105" s="8">
        <f t="shared" si="1"/>
        <v>-1.3603785864941356</v>
      </c>
      <c r="E105" s="159" t="s">
        <v>668</v>
      </c>
    </row>
    <row r="106" spans="2:5">
      <c r="B106" s="6">
        <f t="shared" si="2"/>
        <v>10</v>
      </c>
      <c r="C106" s="8">
        <f t="shared" si="1"/>
        <v>0.40435073002007077</v>
      </c>
      <c r="D106" s="8">
        <f t="shared" si="1"/>
        <v>-0.89577870406952387</v>
      </c>
      <c r="E106" s="159" t="s">
        <v>668</v>
      </c>
    </row>
    <row r="107" spans="2:5">
      <c r="B107" s="6">
        <f t="shared" si="2"/>
        <v>11</v>
      </c>
      <c r="C107" s="8">
        <f t="shared" si="1"/>
        <v>0.61636973718779409</v>
      </c>
      <c r="D107" s="8">
        <f t="shared" si="1"/>
        <v>-1.2190783140272792</v>
      </c>
      <c r="E107" s="159" t="s">
        <v>668</v>
      </c>
    </row>
    <row r="108" spans="2:5">
      <c r="B108" s="6">
        <f t="shared" si="2"/>
        <v>12</v>
      </c>
      <c r="C108" s="8">
        <f t="shared" si="1"/>
        <v>0.35714718350920283</v>
      </c>
      <c r="D108" s="8">
        <f t="shared" si="1"/>
        <v>-0.9317529874531254</v>
      </c>
      <c r="E108" s="159" t="s">
        <v>668</v>
      </c>
    </row>
    <row r="109" spans="2:5">
      <c r="B109" s="6">
        <f t="shared" si="2"/>
        <v>13</v>
      </c>
      <c r="C109" s="8">
        <f t="shared" si="1"/>
        <v>0.32815063578281106</v>
      </c>
      <c r="D109" s="8">
        <f t="shared" si="1"/>
        <v>-1.3512877176360876</v>
      </c>
      <c r="E109" s="159" t="s">
        <v>668</v>
      </c>
    </row>
    <row r="110" spans="2:5">
      <c r="B110" s="6">
        <f t="shared" si="2"/>
        <v>14</v>
      </c>
      <c r="C110" s="8">
        <f t="shared" si="1"/>
        <v>0.44477923285352855</v>
      </c>
      <c r="D110" s="8">
        <f t="shared" si="1"/>
        <v>-0.59593863309205464</v>
      </c>
      <c r="E110" s="159" t="s">
        <v>668</v>
      </c>
    </row>
    <row r="111" spans="2:5">
      <c r="B111" s="6">
        <f t="shared" si="2"/>
        <v>15</v>
      </c>
      <c r="C111" s="8">
        <f t="shared" si="1"/>
        <v>0.37764614402421509</v>
      </c>
      <c r="D111" s="8">
        <f t="shared" si="1"/>
        <v>-0.96332800382463968</v>
      </c>
      <c r="E111" s="159" t="s">
        <v>668</v>
      </c>
    </row>
    <row r="112" spans="2:5">
      <c r="B112" s="6">
        <f t="shared" si="2"/>
        <v>16</v>
      </c>
      <c r="C112" s="8">
        <f t="shared" si="1"/>
        <v>0.42632552981068755</v>
      </c>
      <c r="D112" s="8">
        <f t="shared" si="1"/>
        <v>-0.81599084820364842</v>
      </c>
      <c r="E112" s="159" t="s">
        <v>668</v>
      </c>
    </row>
    <row r="113" spans="2:5">
      <c r="B113" s="6">
        <f t="shared" si="2"/>
        <v>17</v>
      </c>
      <c r="C113" s="8">
        <f t="shared" si="1"/>
        <v>0.40813941253804958</v>
      </c>
      <c r="D113" s="8">
        <f t="shared" si="1"/>
        <v>-1.1486301621433548</v>
      </c>
      <c r="E113" s="159" t="s">
        <v>668</v>
      </c>
    </row>
    <row r="114" spans="2:5">
      <c r="B114" s="6">
        <f t="shared" si="2"/>
        <v>18</v>
      </c>
      <c r="C114" s="8">
        <f t="shared" si="1"/>
        <v>0.60732947821750161</v>
      </c>
      <c r="D114" s="8">
        <f t="shared" si="1"/>
        <v>-1.2251427962507946</v>
      </c>
      <c r="E114" s="159" t="s">
        <v>668</v>
      </c>
    </row>
    <row r="115" spans="2:5">
      <c r="B115" s="6">
        <f t="shared" si="2"/>
        <v>19</v>
      </c>
      <c r="C115" s="8">
        <f t="shared" si="1"/>
        <v>0.46878582298888483</v>
      </c>
      <c r="D115" s="8">
        <f t="shared" si="1"/>
        <v>-1.0805665480122584</v>
      </c>
      <c r="E115" s="159" t="s">
        <v>668</v>
      </c>
    </row>
    <row r="116" spans="2:5">
      <c r="B116" s="6">
        <f t="shared" si="2"/>
        <v>20</v>
      </c>
      <c r="C116" s="8">
        <f t="shared" si="1"/>
        <v>0.72281909737066485</v>
      </c>
      <c r="D116" s="8">
        <f t="shared" si="1"/>
        <v>1.4632600364074799</v>
      </c>
      <c r="E116" s="159" t="s">
        <v>669</v>
      </c>
    </row>
    <row r="117" spans="2:5">
      <c r="B117" s="6">
        <f t="shared" si="2"/>
        <v>21</v>
      </c>
      <c r="C117" s="8">
        <f t="shared" ref="C117:D136" si="3">(C42-C$88)/C$89</f>
        <v>0.81974487749685632</v>
      </c>
      <c r="D117" s="8">
        <f t="shared" si="3"/>
        <v>0.70070050563428055</v>
      </c>
      <c r="E117" s="159" t="s">
        <v>669</v>
      </c>
    </row>
    <row r="118" spans="2:5">
      <c r="B118" s="6">
        <f t="shared" si="2"/>
        <v>22</v>
      </c>
      <c r="C118" s="8">
        <f t="shared" si="3"/>
        <v>1.2793151141721284</v>
      </c>
      <c r="D118" s="8">
        <f t="shared" si="3"/>
        <v>0.28917696948610522</v>
      </c>
      <c r="E118" s="159" t="s">
        <v>669</v>
      </c>
    </row>
    <row r="119" spans="2:5">
      <c r="B119" s="6">
        <f t="shared" si="2"/>
        <v>23</v>
      </c>
      <c r="C119" s="8">
        <f t="shared" si="3"/>
        <v>1.9950288339949405</v>
      </c>
      <c r="D119" s="8">
        <f t="shared" si="3"/>
        <v>7.9808842631682683E-2</v>
      </c>
      <c r="E119" s="159" t="s">
        <v>669</v>
      </c>
    </row>
    <row r="120" spans="2:5">
      <c r="B120" s="6">
        <f t="shared" si="2"/>
        <v>24</v>
      </c>
      <c r="C120" s="8">
        <f t="shared" si="3"/>
        <v>-0.31649811236519682</v>
      </c>
      <c r="D120" s="8">
        <f t="shared" si="3"/>
        <v>2.0216962019402942</v>
      </c>
      <c r="E120" s="159" t="s">
        <v>669</v>
      </c>
    </row>
    <row r="121" spans="2:5">
      <c r="B121" s="6">
        <f t="shared" si="2"/>
        <v>25</v>
      </c>
      <c r="C121" s="8">
        <f t="shared" si="3"/>
        <v>-1.0951576224953685</v>
      </c>
      <c r="D121" s="8">
        <f t="shared" si="3"/>
        <v>2.5533926942576741</v>
      </c>
      <c r="E121" s="159" t="s">
        <v>669</v>
      </c>
    </row>
    <row r="122" spans="2:5">
      <c r="B122" s="6">
        <f t="shared" si="2"/>
        <v>26</v>
      </c>
      <c r="C122" s="8">
        <f t="shared" si="3"/>
        <v>-0.79632082202763121</v>
      </c>
      <c r="D122" s="8">
        <f t="shared" si="3"/>
        <v>2.9672842455709527</v>
      </c>
      <c r="E122" s="159" t="s">
        <v>669</v>
      </c>
    </row>
    <row r="123" spans="2:5">
      <c r="B123" s="6">
        <f t="shared" si="2"/>
        <v>27</v>
      </c>
      <c r="C123" s="8">
        <f t="shared" si="3"/>
        <v>0.32657131396819133</v>
      </c>
      <c r="D123" s="8">
        <f t="shared" si="3"/>
        <v>1.973314669899116</v>
      </c>
      <c r="E123" s="159" t="s">
        <v>669</v>
      </c>
    </row>
    <row r="124" spans="2:5">
      <c r="B124" s="6">
        <f t="shared" si="2"/>
        <v>28</v>
      </c>
      <c r="C124" s="8">
        <f t="shared" si="3"/>
        <v>-0.82928595808315242</v>
      </c>
      <c r="D124" s="8">
        <f t="shared" si="3"/>
        <v>2.2451751048736845</v>
      </c>
      <c r="E124" s="159" t="s">
        <v>669</v>
      </c>
    </row>
    <row r="125" spans="2:5">
      <c r="B125" s="6">
        <f t="shared" si="2"/>
        <v>29</v>
      </c>
      <c r="C125" s="8">
        <f t="shared" si="3"/>
        <v>0.33442261201969165</v>
      </c>
      <c r="D125" s="8">
        <f t="shared" si="3"/>
        <v>0.49514740244093031</v>
      </c>
      <c r="E125" s="159" t="s">
        <v>669</v>
      </c>
    </row>
    <row r="126" spans="2:5">
      <c r="B126" s="6">
        <f t="shared" si="2"/>
        <v>30</v>
      </c>
      <c r="C126" s="8">
        <f t="shared" si="3"/>
        <v>0.7405934920529097</v>
      </c>
      <c r="D126" s="8">
        <f t="shared" si="3"/>
        <v>0.12592682390242932</v>
      </c>
      <c r="E126" s="159" t="s">
        <v>669</v>
      </c>
    </row>
    <row r="127" spans="2:5">
      <c r="B127" s="6">
        <f t="shared" si="2"/>
        <v>31</v>
      </c>
      <c r="C127" s="8">
        <f t="shared" si="3"/>
        <v>1.2608497570877817</v>
      </c>
      <c r="D127" s="8">
        <f t="shared" si="3"/>
        <v>-0.12883829980802888</v>
      </c>
      <c r="E127" s="159" t="s">
        <v>669</v>
      </c>
    </row>
    <row r="128" spans="2:5">
      <c r="B128" s="6">
        <f t="shared" si="2"/>
        <v>32</v>
      </c>
      <c r="C128" s="8">
        <f t="shared" si="3"/>
        <v>1.4879258287381751</v>
      </c>
      <c r="D128" s="8">
        <f t="shared" si="3"/>
        <v>0.11542268329878397</v>
      </c>
      <c r="E128" s="159" t="s">
        <v>669</v>
      </c>
    </row>
    <row r="129" spans="2:5">
      <c r="B129" s="6">
        <f t="shared" si="2"/>
        <v>33</v>
      </c>
      <c r="C129" s="8">
        <f t="shared" si="3"/>
        <v>1.3748332568579478</v>
      </c>
      <c r="D129" s="8">
        <f t="shared" si="3"/>
        <v>0.61809529982494227</v>
      </c>
      <c r="E129" s="159" t="s">
        <v>669</v>
      </c>
    </row>
    <row r="130" spans="2:5">
      <c r="B130" s="6">
        <f t="shared" si="2"/>
        <v>34</v>
      </c>
      <c r="C130" s="8">
        <f t="shared" si="3"/>
        <v>1.5167648390660018</v>
      </c>
      <c r="D130" s="8">
        <f t="shared" si="3"/>
        <v>0.30944880712945416</v>
      </c>
      <c r="E130" s="159" t="s">
        <v>669</v>
      </c>
    </row>
    <row r="131" spans="2:5">
      <c r="B131" s="6">
        <f t="shared" si="2"/>
        <v>35</v>
      </c>
      <c r="C131" s="8">
        <f t="shared" si="3"/>
        <v>1.3884869682742502</v>
      </c>
      <c r="D131" s="8">
        <f t="shared" si="3"/>
        <v>0.32350640944170317</v>
      </c>
      <c r="E131" s="159" t="s">
        <v>669</v>
      </c>
    </row>
    <row r="132" spans="2:5">
      <c r="B132" s="6">
        <f t="shared" si="2"/>
        <v>36</v>
      </c>
      <c r="C132" s="8">
        <f t="shared" si="3"/>
        <v>1.1558738646414328</v>
      </c>
      <c r="D132" s="8">
        <f t="shared" si="3"/>
        <v>0.50651019968372879</v>
      </c>
      <c r="E132" s="159" t="s">
        <v>669</v>
      </c>
    </row>
    <row r="133" spans="2:5">
      <c r="B133" s="6">
        <f t="shared" si="2"/>
        <v>37</v>
      </c>
      <c r="C133" s="8">
        <f t="shared" si="3"/>
        <v>1.1982492576858779</v>
      </c>
      <c r="D133" s="8">
        <f t="shared" si="3"/>
        <v>1.0436272057475449</v>
      </c>
      <c r="E133" s="159" t="s">
        <v>669</v>
      </c>
    </row>
    <row r="134" spans="2:5">
      <c r="B134" s="6">
        <f t="shared" si="2"/>
        <v>38</v>
      </c>
      <c r="C134" s="8">
        <f t="shared" si="3"/>
        <v>1.5868375419639376</v>
      </c>
      <c r="D134" s="8">
        <f t="shared" si="3"/>
        <v>0.41306789321700499</v>
      </c>
      <c r="E134" s="159" t="s">
        <v>669</v>
      </c>
    </row>
    <row r="135" spans="2:5">
      <c r="B135" s="6">
        <f t="shared" si="2"/>
        <v>39</v>
      </c>
      <c r="C135" s="8">
        <f t="shared" si="3"/>
        <v>-1.2035810999089676</v>
      </c>
      <c r="D135" s="8">
        <f t="shared" si="3"/>
        <v>-0.36329341736720594</v>
      </c>
      <c r="E135" s="159" t="s">
        <v>670</v>
      </c>
    </row>
    <row r="136" spans="2:5">
      <c r="B136" s="6">
        <f t="shared" si="2"/>
        <v>40</v>
      </c>
      <c r="C136" s="8">
        <f t="shared" si="3"/>
        <v>-0.89178278080383289</v>
      </c>
      <c r="D136" s="8">
        <f t="shared" si="3"/>
        <v>-0.46566324107790114</v>
      </c>
      <c r="E136" s="159" t="s">
        <v>670</v>
      </c>
    </row>
    <row r="137" spans="2:5">
      <c r="B137" s="6">
        <f t="shared" si="2"/>
        <v>41</v>
      </c>
      <c r="C137" s="8">
        <f t="shared" ref="C137:D153" si="4">(C62-C$88)/C$89</f>
        <v>-0.26540424388171141</v>
      </c>
      <c r="D137" s="8">
        <f t="shared" si="4"/>
        <v>-0.41463900662576275</v>
      </c>
      <c r="E137" s="159" t="s">
        <v>670</v>
      </c>
    </row>
    <row r="138" spans="2:5">
      <c r="B138" s="6">
        <f t="shared" si="2"/>
        <v>42</v>
      </c>
      <c r="C138" s="8">
        <f t="shared" si="4"/>
        <v>0.23207684122134703</v>
      </c>
      <c r="D138" s="8">
        <f t="shared" si="4"/>
        <v>-0.3460249766009395</v>
      </c>
      <c r="E138" s="159" t="s">
        <v>670</v>
      </c>
    </row>
    <row r="139" spans="2:5">
      <c r="B139" s="6">
        <f t="shared" si="2"/>
        <v>43</v>
      </c>
      <c r="C139" s="8">
        <f t="shared" si="4"/>
        <v>-1.3887195627125</v>
      </c>
      <c r="D139" s="8">
        <f t="shared" si="4"/>
        <v>-0.73019775180373681</v>
      </c>
      <c r="E139" s="159" t="s">
        <v>670</v>
      </c>
    </row>
    <row r="140" spans="2:5">
      <c r="B140" s="6">
        <f t="shared" si="2"/>
        <v>44</v>
      </c>
      <c r="C140" s="8">
        <f t="shared" si="4"/>
        <v>-2.1828236137887189</v>
      </c>
      <c r="D140" s="8">
        <f t="shared" si="4"/>
        <v>0.12924086324335493</v>
      </c>
      <c r="E140" s="159" t="s">
        <v>670</v>
      </c>
    </row>
    <row r="141" spans="2:5">
      <c r="B141" s="6">
        <f t="shared" si="2"/>
        <v>45</v>
      </c>
      <c r="C141" s="8">
        <f t="shared" si="4"/>
        <v>-2.5895687676100083</v>
      </c>
      <c r="D141" s="8">
        <f t="shared" si="4"/>
        <v>0.21922665537197625</v>
      </c>
      <c r="E141" s="159" t="s">
        <v>670</v>
      </c>
    </row>
    <row r="142" spans="2:5">
      <c r="B142" s="6">
        <f t="shared" si="2"/>
        <v>46</v>
      </c>
      <c r="C142" s="8">
        <f t="shared" si="4"/>
        <v>-1.919535722647693</v>
      </c>
      <c r="D142" s="8">
        <f t="shared" si="4"/>
        <v>4.4848587377307901E-3</v>
      </c>
      <c r="E142" s="159" t="s">
        <v>670</v>
      </c>
    </row>
    <row r="143" spans="2:5">
      <c r="B143" s="6">
        <f t="shared" si="2"/>
        <v>47</v>
      </c>
      <c r="C143" s="8">
        <f t="shared" si="4"/>
        <v>-1.8058752682874046</v>
      </c>
      <c r="D143" s="8">
        <f t="shared" si="4"/>
        <v>0.44397132417124635</v>
      </c>
      <c r="E143" s="159" t="s">
        <v>670</v>
      </c>
    </row>
    <row r="144" spans="2:5">
      <c r="B144" s="6">
        <f t="shared" si="2"/>
        <v>48</v>
      </c>
      <c r="C144" s="8">
        <f t="shared" si="4"/>
        <v>-0.7179970355746027</v>
      </c>
      <c r="D144" s="8">
        <f t="shared" si="4"/>
        <v>4.4362183938506869E-2</v>
      </c>
      <c r="E144" s="159" t="s">
        <v>670</v>
      </c>
    </row>
    <row r="145" spans="1:13">
      <c r="B145" s="6">
        <f t="shared" si="2"/>
        <v>49</v>
      </c>
      <c r="C145" s="8">
        <f t="shared" si="4"/>
        <v>-0.2477628988428705</v>
      </c>
      <c r="D145" s="8">
        <f t="shared" si="4"/>
        <v>-0.46844119064302958</v>
      </c>
      <c r="E145" s="159" t="s">
        <v>670</v>
      </c>
    </row>
    <row r="146" spans="1:13">
      <c r="B146" s="6">
        <f t="shared" si="2"/>
        <v>50</v>
      </c>
      <c r="C146" s="8">
        <f t="shared" si="4"/>
        <v>-0.59833277235012861</v>
      </c>
      <c r="D146" s="8">
        <f t="shared" si="4"/>
        <v>6.0168381520767061E-2</v>
      </c>
      <c r="E146" s="159" t="s">
        <v>670</v>
      </c>
    </row>
    <row r="147" spans="1:13">
      <c r="B147" s="6">
        <f t="shared" si="2"/>
        <v>51</v>
      </c>
      <c r="C147" s="8">
        <f t="shared" si="4"/>
        <v>-0.1466634948722603</v>
      </c>
      <c r="D147" s="8">
        <f t="shared" si="4"/>
        <v>-1.0136056523687589</v>
      </c>
      <c r="E147" s="159" t="s">
        <v>670</v>
      </c>
    </row>
    <row r="148" spans="1:13">
      <c r="B148" s="6">
        <f t="shared" si="2"/>
        <v>52</v>
      </c>
      <c r="C148" s="8">
        <f t="shared" si="4"/>
        <v>-0.81345794053245057</v>
      </c>
      <c r="D148" s="8">
        <f t="shared" si="4"/>
        <v>-0.82009421507761504</v>
      </c>
      <c r="E148" s="159" t="s">
        <v>670</v>
      </c>
    </row>
    <row r="149" spans="1:13">
      <c r="B149" s="6">
        <f t="shared" si="2"/>
        <v>53</v>
      </c>
      <c r="C149" s="8">
        <f t="shared" si="4"/>
        <v>-0.68039678946220605</v>
      </c>
      <c r="D149" s="8">
        <f t="shared" si="4"/>
        <v>-0.89859106033377723</v>
      </c>
      <c r="E149" s="159" t="s">
        <v>670</v>
      </c>
    </row>
    <row r="150" spans="1:13">
      <c r="B150" s="6">
        <f t="shared" si="2"/>
        <v>54</v>
      </c>
      <c r="C150" s="8">
        <f t="shared" si="4"/>
        <v>-0.77591919728763703</v>
      </c>
      <c r="D150" s="8">
        <f t="shared" si="4"/>
        <v>0.24765937304321045</v>
      </c>
      <c r="E150" s="159" t="s">
        <v>670</v>
      </c>
    </row>
    <row r="151" spans="1:13">
      <c r="B151" s="6">
        <f t="shared" si="2"/>
        <v>55</v>
      </c>
      <c r="C151" s="8">
        <f t="shared" si="4"/>
        <v>-0.83880174576431288</v>
      </c>
      <c r="D151" s="8">
        <f t="shared" si="4"/>
        <v>-0.48460289117574701</v>
      </c>
      <c r="E151" s="159" t="s">
        <v>670</v>
      </c>
    </row>
    <row r="152" spans="1:13">
      <c r="B152" s="6">
        <f t="shared" si="2"/>
        <v>56</v>
      </c>
      <c r="C152" s="8">
        <f t="shared" si="4"/>
        <v>-0.15219340556964991</v>
      </c>
      <c r="D152" s="8">
        <f t="shared" si="4"/>
        <v>-0.20992822021262628</v>
      </c>
      <c r="E152" s="159" t="s">
        <v>670</v>
      </c>
    </row>
    <row r="153" spans="1:13">
      <c r="B153" s="6">
        <f t="shared" si="2"/>
        <v>57</v>
      </c>
      <c r="C153" s="8">
        <f t="shared" si="4"/>
        <v>0.20384566232894802</v>
      </c>
      <c r="D153" s="8">
        <f t="shared" si="4"/>
        <v>-1.368099183261426</v>
      </c>
      <c r="E153" s="159" t="s">
        <v>670</v>
      </c>
    </row>
    <row r="157" spans="1:13">
      <c r="A157" s="24" t="s">
        <v>721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60" spans="1:13">
      <c r="B160" s="6" t="s">
        <v>716</v>
      </c>
      <c r="C160" s="6" t="s">
        <v>256</v>
      </c>
      <c r="D160" s="6" t="s">
        <v>708</v>
      </c>
    </row>
    <row r="161" spans="1:13">
      <c r="B161" s="6" t="s">
        <v>668</v>
      </c>
      <c r="C161" s="168">
        <f>AVERAGE(C22:C40)</f>
        <v>19.878760111760158</v>
      </c>
      <c r="D161" s="8">
        <f>AVERAGE(D22:D40)</f>
        <v>1.3474645620200227</v>
      </c>
    </row>
    <row r="162" spans="1:13">
      <c r="B162" s="6" t="s">
        <v>669</v>
      </c>
      <c r="C162" s="8">
        <f>AVERAGE(C41:C59)</f>
        <v>23.073478124695754</v>
      </c>
      <c r="D162" s="8">
        <f>AVERAGE(D41:D59)</f>
        <v>2.8048997135489548</v>
      </c>
    </row>
    <row r="163" spans="1:13">
      <c r="B163" s="6" t="s">
        <v>670</v>
      </c>
      <c r="C163" s="8">
        <f>AVERAGE(C60:C78)</f>
        <v>14.49431317479419</v>
      </c>
      <c r="D163" s="8">
        <f>AVERAGE(D60:D78)</f>
        <v>1.6041321327961264</v>
      </c>
    </row>
    <row r="165" spans="1:13">
      <c r="B165" s="6" t="s">
        <v>716</v>
      </c>
      <c r="C165" s="6" t="s">
        <v>710</v>
      </c>
      <c r="D165" s="6" t="s">
        <v>711</v>
      </c>
    </row>
    <row r="166" spans="1:13">
      <c r="B166" s="6" t="s">
        <v>717</v>
      </c>
      <c r="C166" s="8">
        <f>AVERAGE(C97:C115)</f>
        <v>0.13851787873301294</v>
      </c>
      <c r="D166" s="8">
        <f>AVERAGE(D97:D115)</f>
        <v>-0.61482402784515966</v>
      </c>
    </row>
    <row r="167" spans="1:13">
      <c r="B167" s="6" t="s">
        <v>718</v>
      </c>
      <c r="C167" s="8">
        <f>AVERAGE(C116:C134)</f>
        <v>0.74479232317997057</v>
      </c>
      <c r="D167" s="8">
        <f>AVERAGE(D116:D134)</f>
        <v>0.95345914187261871</v>
      </c>
    </row>
    <row r="168" spans="1:13">
      <c r="B168" s="6" t="s">
        <v>719</v>
      </c>
      <c r="C168" s="8">
        <f>AVERAGE(C135:C153)</f>
        <v>-0.88331020191298204</v>
      </c>
      <c r="D168" s="8">
        <f>AVERAGE(D135:D153)</f>
        <v>-0.33863511402745966</v>
      </c>
    </row>
    <row r="172" spans="1:13">
      <c r="A172" s="24" t="s">
        <v>722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5" spans="1:13">
      <c r="E175" s="6" t="s">
        <v>700</v>
      </c>
      <c r="G175" s="6" t="s">
        <v>701</v>
      </c>
    </row>
    <row r="176" spans="1:13">
      <c r="C176" s="1"/>
      <c r="E176" s="6" t="s">
        <v>668</v>
      </c>
      <c r="F176" s="1"/>
      <c r="G176" s="6" t="s">
        <v>723</v>
      </c>
      <c r="H176" s="1"/>
    </row>
    <row r="177" spans="1:13">
      <c r="B177" s="6" t="s">
        <v>539</v>
      </c>
      <c r="C177" s="168">
        <f>CORREL(C97:C115,D97:D115)</f>
        <v>-0.82582702545276399</v>
      </c>
      <c r="D177" s="6" t="s">
        <v>244</v>
      </c>
      <c r="E177" s="168">
        <f>_xlfn.VAR.P(C97:C115)</f>
        <v>0.26626919281980976</v>
      </c>
      <c r="F177" s="168">
        <f>_xlfn.COVARIANCE.P(C97:C115,D97:D115)</f>
        <v>-0.30883412211110484</v>
      </c>
      <c r="G177" s="168">
        <f t="array" ref="G177:H178">MINVERSE(E177:F178)</f>
        <v>11.809694911393198</v>
      </c>
      <c r="H177" s="168">
        <v>6.944044643918474</v>
      </c>
    </row>
    <row r="178" spans="1:13">
      <c r="B178" s="6" t="s">
        <v>397</v>
      </c>
      <c r="C178" s="8">
        <f>COUNTIF(E97:E153,"=risk")</f>
        <v>19</v>
      </c>
      <c r="D178" s="168">
        <f>MDETERM(E177:F178)</f>
        <v>4.4474674047722138E-2</v>
      </c>
      <c r="E178" s="168">
        <f>F177</f>
        <v>-0.30883412211110484</v>
      </c>
      <c r="F178" s="168">
        <f>_xlfn.VAR.P(D97:D115)</f>
        <v>0.52523233178725515</v>
      </c>
      <c r="G178" s="168">
        <v>6.944044643918474</v>
      </c>
      <c r="H178" s="168">
        <v>5.9869846945724232</v>
      </c>
    </row>
    <row r="179" spans="1:13">
      <c r="C179" s="1"/>
      <c r="E179" s="6" t="s">
        <v>669</v>
      </c>
      <c r="F179" s="1"/>
      <c r="G179" s="6" t="s">
        <v>723</v>
      </c>
      <c r="H179" s="1"/>
    </row>
    <row r="180" spans="1:13">
      <c r="B180" s="6" t="s">
        <v>539</v>
      </c>
      <c r="C180" s="168">
        <f>CORREL(C116:C134,D116:D134)</f>
        <v>-0.89073630963800932</v>
      </c>
      <c r="D180" s="6" t="s">
        <v>244</v>
      </c>
      <c r="E180" s="168">
        <f>_xlfn.VAR.P(C116:C134)</f>
        <v>0.78274693410940521</v>
      </c>
      <c r="F180" s="168">
        <f>_xlfn.COVARIANCE.P(C116:C134,D116:D134)</f>
        <v>-0.72736280336570169</v>
      </c>
      <c r="G180" s="168">
        <f t="array" ref="G180:H181">MINVERSE(E180:F181)</f>
        <v>6.184032960275931</v>
      </c>
      <c r="H180" s="168">
        <v>5.280078692938825</v>
      </c>
    </row>
    <row r="181" spans="1:13">
      <c r="B181" s="6" t="s">
        <v>397</v>
      </c>
      <c r="C181" s="8">
        <f>COUNTIF(E97:E153,"=ill")</f>
        <v>19</v>
      </c>
      <c r="D181" s="168">
        <f>MDETERM(E180:F181)</f>
        <v>0.13775605358655379</v>
      </c>
      <c r="E181" s="168">
        <f>F180</f>
        <v>-0.72736280336570169</v>
      </c>
      <c r="F181" s="168">
        <f>_xlfn.VAR.P(D116:D134)</f>
        <v>0.85188797585678599</v>
      </c>
      <c r="G181" s="168">
        <v>5.280078692938825</v>
      </c>
      <c r="H181" s="168">
        <v>5.6821236797234169</v>
      </c>
    </row>
    <row r="182" spans="1:13">
      <c r="C182" s="1"/>
      <c r="E182" s="6" t="s">
        <v>670</v>
      </c>
      <c r="F182" s="1"/>
      <c r="G182" s="6" t="s">
        <v>723</v>
      </c>
      <c r="H182" s="1"/>
    </row>
    <row r="183" spans="1:13">
      <c r="B183" s="6" t="s">
        <v>539</v>
      </c>
      <c r="C183" s="168">
        <f>CORREL(C135:C153,D135:D153)</f>
        <v>-0.58015490866074104</v>
      </c>
      <c r="D183" s="6" t="s">
        <v>244</v>
      </c>
      <c r="E183" s="168">
        <f>_xlfn.VAR.P(C135:C153)</f>
        <v>0.59684415287070902</v>
      </c>
      <c r="F183" s="168">
        <f>_xlfn.COVARIANCE.P(C135:C153,D135:D153)</f>
        <v>-0.2107568079719811</v>
      </c>
      <c r="G183" s="168">
        <f t="array" ref="G183:H184">MINVERSE(E183:F184)</f>
        <v>2.5255170911412046</v>
      </c>
      <c r="H183" s="168">
        <v>2.407229990359872</v>
      </c>
    </row>
    <row r="184" spans="1:13">
      <c r="B184" s="6" t="s">
        <v>397</v>
      </c>
      <c r="C184" s="8">
        <f>COUNTIF(E97:E153,"=normal")</f>
        <v>19</v>
      </c>
      <c r="D184" s="168">
        <f t="array" ref="D184">MDETERM(E183:F184)</f>
        <v>8.7551587848269427E-2</v>
      </c>
      <c r="E184" s="168">
        <f>F183</f>
        <v>-0.2107568079719811</v>
      </c>
      <c r="F184" s="168">
        <f>_xlfn.VAR.P(D135:D153)</f>
        <v>0.22111303146735506</v>
      </c>
      <c r="G184" s="168">
        <v>2.407229990359872</v>
      </c>
      <c r="H184" s="168">
        <v>6.8170568637209064</v>
      </c>
    </row>
    <row r="188" spans="1:13">
      <c r="A188" s="24" t="s">
        <v>724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91" spans="1:13">
      <c r="B191" s="159" t="s">
        <v>725</v>
      </c>
      <c r="C191" s="159"/>
      <c r="D191" s="159"/>
      <c r="E191" s="159"/>
      <c r="F191" s="159"/>
    </row>
    <row r="192" spans="1:13">
      <c r="B192" s="6" t="s">
        <v>707</v>
      </c>
      <c r="C192" s="6" t="s">
        <v>668</v>
      </c>
      <c r="D192" s="6" t="s">
        <v>669</v>
      </c>
      <c r="E192" s="6" t="s">
        <v>670</v>
      </c>
      <c r="F192" s="6" t="s">
        <v>709</v>
      </c>
    </row>
    <row r="193" spans="2:6">
      <c r="B193" s="6">
        <v>1</v>
      </c>
      <c r="C193" s="67">
        <f t="array" ref="C193">MMULT(MMULT(C97:D97-$C$166:$D$166,$G$177:$H$178),TRANSPOSE(C97:D97-$C$166:$D$166))</f>
        <v>3.9283424270245231</v>
      </c>
      <c r="D193" s="169">
        <f t="array" ref="D193">MMULT(MMULT(C97:D97-$C$167:$D$167,$G$180:$H$181),TRANSPOSE(C97:D97-$C$167:$D$167))</f>
        <v>10.727753243525747</v>
      </c>
      <c r="E193" s="8">
        <f t="array" ref="E193">MMULT(MMULT(C97:D97-$C$168:$D$168,$G$183:$H$184),TRANSPOSE(C97:D97-$C$168:$D$168))</f>
        <v>9.6004621285568881</v>
      </c>
      <c r="F193" s="159" t="s">
        <v>668</v>
      </c>
    </row>
    <row r="194" spans="2:6">
      <c r="B194" s="6">
        <f t="shared" ref="B194:B249" si="5">B193+1</f>
        <v>2</v>
      </c>
      <c r="C194" s="68">
        <f t="array" ref="C194">MMULT(MMULT(C98:D98-$C$166:$D$166,$G$177:$H$178),TRANSPOSE(C98:D98-$C$166:$D$166))</f>
        <v>1.8234801359175821</v>
      </c>
      <c r="D194" s="169">
        <f t="array" ref="D194">MMULT(MMULT(C98:D98-$C$167:$D$167,$G$180:$H$181),TRANSPOSE(C98:D98-$C$167:$D$167))</f>
        <v>15.492320080430174</v>
      </c>
      <c r="E194" s="8">
        <f t="array" ref="E194">MMULT(MMULT(C98:D98-$C$168:$D$168,$G$183:$H$184),TRANSPOSE(C98:D98-$C$168:$D$168))</f>
        <v>3.9506710223086885</v>
      </c>
      <c r="F194" s="159" t="s">
        <v>668</v>
      </c>
    </row>
    <row r="195" spans="2:6">
      <c r="B195" s="6">
        <f t="shared" si="5"/>
        <v>3</v>
      </c>
      <c r="C195" s="68">
        <f t="array" ref="C195">MMULT(MMULT(C99:D99-$C$166:$D$166,$G$177:$H$178),TRANSPOSE(C99:D99-$C$166:$D$166))</f>
        <v>5.1271132020263606</v>
      </c>
      <c r="D195" s="169">
        <f t="array" ref="D195">MMULT(MMULT(C99:D99-$C$167:$D$167,$G$180:$H$181),TRANSPOSE(C99:D99-$C$167:$D$167))</f>
        <v>49.1595525200742</v>
      </c>
      <c r="E195" s="8">
        <f t="array" ref="E195">MMULT(MMULT(C99:D99-$C$168:$D$168,$G$183:$H$184),TRANSPOSE(C99:D99-$C$168:$D$168))</f>
        <v>1.9747070826311526</v>
      </c>
      <c r="F195" s="159" t="s">
        <v>668</v>
      </c>
    </row>
    <row r="196" spans="2:6">
      <c r="B196" s="6">
        <f t="shared" si="5"/>
        <v>4</v>
      </c>
      <c r="C196" s="68">
        <f t="array" ref="C196">MMULT(MMULT(C100:D100-$C$166:$D$166,$G$177:$H$178),TRANSPOSE(C100:D100-$C$166:$D$166))</f>
        <v>3.7337226579148117</v>
      </c>
      <c r="D196" s="169">
        <f t="array" ref="D196">MMULT(MMULT(C100:D100-$C$167:$D$167,$G$180:$H$181),TRANSPOSE(C100:D100-$C$167:$D$167))</f>
        <v>48.302039998623272</v>
      </c>
      <c r="E196" s="8">
        <f t="array" ref="E196">MMULT(MMULT(C100:D100-$C$168:$D$168,$G$183:$H$184),TRANSPOSE(C100:D100-$C$168:$D$168))</f>
        <v>4.1306307827663167</v>
      </c>
      <c r="F196" s="159" t="s">
        <v>668</v>
      </c>
    </row>
    <row r="197" spans="2:6">
      <c r="B197" s="6">
        <f t="shared" si="5"/>
        <v>5</v>
      </c>
      <c r="C197" s="68">
        <f t="array" ref="C197">MMULT(MMULT(C101:D101-$C$166:$D$166,$G$177:$H$178),TRANSPOSE(C101:D101-$C$166:$D$166))</f>
        <v>2.9264757929838443</v>
      </c>
      <c r="D197" s="169">
        <f t="array" ref="D197">MMULT(MMULT(C101:D101-$C$167:$D$167,$G$180:$H$181),TRANSPOSE(C101:D101-$C$167:$D$167))</f>
        <v>17.191669098533708</v>
      </c>
      <c r="E197" s="8">
        <f t="array" ref="E197">MMULT(MMULT(C101:D101-$C$168:$D$168,$G$183:$H$184),TRANSPOSE(C101:D101-$C$168:$D$168))</f>
        <v>7.5882347684689933</v>
      </c>
      <c r="F197" s="159" t="s">
        <v>668</v>
      </c>
    </row>
    <row r="198" spans="2:6">
      <c r="B198" s="6">
        <f t="shared" si="5"/>
        <v>6</v>
      </c>
      <c r="C198" s="68">
        <f t="array" ref="C198">MMULT(MMULT(C102:D102-$C$166:$D$166,$G$177:$H$178),TRANSPOSE(C102:D102-$C$166:$D$166))</f>
        <v>0.9583696193877953</v>
      </c>
      <c r="D198" s="169">
        <f t="array" ref="D198">MMULT(MMULT(C102:D102-$C$167:$D$167,$G$180:$H$181),TRANSPOSE(C102:D102-$C$167:$D$167))</f>
        <v>18.824203880106694</v>
      </c>
      <c r="E198" s="8">
        <f t="array" ref="E198">MMULT(MMULT(C102:D102-$C$168:$D$168,$G$183:$H$184),TRANSPOSE(C102:D102-$C$168:$D$168))</f>
        <v>3.6844949957149309</v>
      </c>
      <c r="F198" s="159" t="s">
        <v>668</v>
      </c>
    </row>
    <row r="199" spans="2:6">
      <c r="B199" s="6">
        <f t="shared" si="5"/>
        <v>7</v>
      </c>
      <c r="C199" s="68">
        <f t="array" ref="C199">MMULT(MMULT(C103:D103-$C$166:$D$166,$G$177:$H$178),TRANSPOSE(C103:D103-$C$166:$D$166))</f>
        <v>4.7167472076049304</v>
      </c>
      <c r="D199" s="169">
        <f t="array" ref="D199">MMULT(MMULT(C103:D103-$C$167:$D$167,$G$180:$H$181),TRANSPOSE(C103:D103-$C$167:$D$167))</f>
        <v>30.838950766357641</v>
      </c>
      <c r="E199" s="8">
        <f t="array" ref="E199">MMULT(MMULT(C103:D103-$C$168:$D$168,$G$183:$H$184),TRANSPOSE(C103:D103-$C$168:$D$168))</f>
        <v>2.7081855841728437</v>
      </c>
      <c r="F199" s="159" t="s">
        <v>668</v>
      </c>
    </row>
    <row r="200" spans="2:6">
      <c r="B200" s="6">
        <f t="shared" si="5"/>
        <v>8</v>
      </c>
      <c r="C200" s="68">
        <f t="array" ref="C200">MMULT(MMULT(C104:D104-$C$166:$D$166,$G$177:$H$178),TRANSPOSE(C104:D104-$C$166:$D$166))</f>
        <v>4.6724948902069094</v>
      </c>
      <c r="D200" s="169">
        <f t="array" ref="D200">MMULT(MMULT(C104:D104-$C$167:$D$167,$G$180:$H$181),TRANSPOSE(C104:D104-$C$167:$D$167))</f>
        <v>17.733163933621114</v>
      </c>
      <c r="E200" s="8">
        <f t="array" ref="E200">MMULT(MMULT(C104:D104-$C$168:$D$168,$G$183:$H$184),TRANSPOSE(C104:D104-$C$168:$D$168))</f>
        <v>10.405968176363368</v>
      </c>
      <c r="F200" s="159" t="s">
        <v>668</v>
      </c>
    </row>
    <row r="201" spans="2:6">
      <c r="B201" s="6">
        <f t="shared" si="5"/>
        <v>9</v>
      </c>
      <c r="C201" s="68">
        <f t="array" ref="C201">MMULT(MMULT(C105:D105-$C$166:$D$166,$G$177:$H$178),TRANSPOSE(C105:D105-$C$166:$D$166))</f>
        <v>3.3151415788136154</v>
      </c>
      <c r="D201" s="169">
        <f t="array" ref="D201">MMULT(MMULT(C105:D105-$C$167:$D$167,$G$180:$H$181),TRANSPOSE(C105:D105-$C$167:$D$167))</f>
        <v>24.290344882258072</v>
      </c>
      <c r="E201" s="8">
        <f t="array" ref="E201">MMULT(MMULT(C105:D105-$C$168:$D$168,$G$183:$H$184),TRANSPOSE(C105:D105-$C$168:$D$168))</f>
        <v>6.8751536547343743</v>
      </c>
      <c r="F201" s="159" t="s">
        <v>668</v>
      </c>
    </row>
    <row r="202" spans="2:6">
      <c r="B202" s="6">
        <f t="shared" si="5"/>
        <v>10</v>
      </c>
      <c r="C202" s="68">
        <f t="array" ref="C202">MMULT(MMULT(C106:D106-$C$166:$D$166,$G$177:$H$178),TRANSPOSE(C106:D106-$C$166:$D$166))</f>
        <v>0.26988327489163855</v>
      </c>
      <c r="D202" s="169">
        <f t="array" ref="D202">MMULT(MMULT(C106:D106-$C$167:$D$167,$G$180:$H$181),TRANSPOSE(C106:D106-$C$167:$D$167))</f>
        <v>26.796006609737628</v>
      </c>
      <c r="E202" s="8">
        <f t="array" ref="E202">MMULT(MMULT(C106:D106-$C$168:$D$168,$G$183:$H$184),TRANSPOSE(C106:D106-$C$168:$D$168))</f>
        <v>2.8496099675925235</v>
      </c>
      <c r="F202" s="159" t="s">
        <v>668</v>
      </c>
    </row>
    <row r="203" spans="2:6">
      <c r="B203" s="6">
        <f t="shared" si="5"/>
        <v>11</v>
      </c>
      <c r="C203" s="68">
        <f t="array" ref="C203">MMULT(MMULT(C107:D107-$C$166:$D$166,$G$177:$H$178),TRANSPOSE(C107:D107-$C$166:$D$166))</f>
        <v>0.87253840643618685</v>
      </c>
      <c r="D203" s="169">
        <f t="array" ref="D203">MMULT(MMULT(C107:D107-$C$167:$D$167,$G$180:$H$181),TRANSPOSE(C107:D107-$C$167:$D$167))</f>
        <v>29.867467107814925</v>
      </c>
      <c r="E203" s="8">
        <f t="array" ref="E203">MMULT(MMULT(C107:D107-$C$168:$D$168,$G$183:$H$184),TRANSPOSE(C107:D107-$C$168:$D$168))</f>
        <v>4.6075053181129855</v>
      </c>
      <c r="F203" s="159" t="s">
        <v>668</v>
      </c>
    </row>
    <row r="204" spans="2:6">
      <c r="B204" s="6">
        <f t="shared" si="5"/>
        <v>12</v>
      </c>
      <c r="C204" s="68">
        <f t="array" ref="C204">MMULT(MMULT(C108:D108-$C$166:$D$166,$G$177:$H$178),TRANSPOSE(C108:D108-$C$166:$D$166))</f>
        <v>0.20354028403185637</v>
      </c>
      <c r="D204" s="169">
        <f t="array" ref="D204">MMULT(MMULT(C108:D108-$C$167:$D$167,$G$180:$H$181),TRANSPOSE(C108:D108-$C$167:$D$167))</f>
        <v>28.840967715128752</v>
      </c>
      <c r="E204" s="8">
        <f t="array" ref="E204">MMULT(MMULT(C108:D108-$C$168:$D$168,$G$183:$H$184),TRANSPOSE(C108:D108-$C$168:$D$168))</f>
        <v>2.7420861830714869</v>
      </c>
      <c r="F204" s="159" t="s">
        <v>668</v>
      </c>
    </row>
    <row r="205" spans="2:6">
      <c r="B205" s="6">
        <f t="shared" si="5"/>
        <v>13</v>
      </c>
      <c r="C205" s="68">
        <f t="array" ref="C205">MMULT(MMULT(C109:D109-$C$166:$D$166,$G$177:$H$178),TRANSPOSE(C109:D109-$C$166:$D$166))</f>
        <v>1.7323191081662794</v>
      </c>
      <c r="D205" s="169">
        <f t="array" ref="D205">MMULT(MMULT(C109:D109-$C$167:$D$167,$G$180:$H$181),TRANSPOSE(C109:D109-$C$167:$D$167))</f>
        <v>41.396552089769528</v>
      </c>
      <c r="E205" s="8">
        <f t="array" ref="E205">MMULT(MMULT(C109:D109-$C$168:$D$168,$G$183:$H$184),TRANSPOSE(C109:D109-$C$168:$D$168))</f>
        <v>4.7908720634373054</v>
      </c>
      <c r="F205" s="159" t="s">
        <v>668</v>
      </c>
    </row>
    <row r="206" spans="2:6">
      <c r="B206" s="6">
        <f t="shared" si="5"/>
        <v>14</v>
      </c>
      <c r="C206" s="68">
        <f t="array" ref="C206">MMULT(MMULT(C110:D110-$C$166:$D$166,$G$177:$H$178),TRANSPOSE(C110:D110-$C$166:$D$166))</f>
        <v>1.1901645071523623</v>
      </c>
      <c r="D206" s="169">
        <f t="array" ref="D206">MMULT(MMULT(C110:D110-$C$167:$D$167,$G$180:$H$181),TRANSPOSE(C110:D110-$C$167:$D$167))</f>
        <v>19.106087285769775</v>
      </c>
      <c r="E206" s="8">
        <f t="array" ref="E206">MMULT(MMULT(C110:D110-$C$168:$D$168,$G$183:$H$184),TRANSPOSE(C110:D110-$C$168:$D$168))</f>
        <v>3.2606780959581116</v>
      </c>
      <c r="F206" s="159" t="s">
        <v>668</v>
      </c>
    </row>
    <row r="207" spans="2:6">
      <c r="B207" s="6">
        <f t="shared" si="5"/>
        <v>15</v>
      </c>
      <c r="C207" s="68">
        <f t="array" ref="C207">MMULT(MMULT(C111:D111-$C$166:$D$166,$G$177:$H$178),TRANSPOSE(C111:D111-$C$166:$D$166))</f>
        <v>0.24506139554159606</v>
      </c>
      <c r="D207" s="169">
        <f t="array" ref="D207">MMULT(MMULT(C111:D111-$C$167:$D$167,$G$180:$H$181),TRANSPOSE(C111:D111-$C$167:$D$167))</f>
        <v>29.141738374231224</v>
      </c>
      <c r="E207" s="8">
        <f t="array" ref="E207">MMULT(MMULT(C111:D111-$C$168:$D$168,$G$183:$H$184),TRANSPOSE(C111:D111-$C$168:$D$168))</f>
        <v>2.883495711174537</v>
      </c>
      <c r="F207" s="159" t="s">
        <v>668</v>
      </c>
    </row>
    <row r="208" spans="2:6">
      <c r="B208" s="6">
        <f t="shared" si="5"/>
        <v>16</v>
      </c>
      <c r="C208" s="68">
        <f t="array" ref="C208">MMULT(MMULT(C112:D112-$C$166:$D$166,$G$177:$H$178),TRANSPOSE(C112:D112-$C$166:$D$166))</f>
        <v>0.41643360660166034</v>
      </c>
      <c r="D208" s="169">
        <f t="array" ref="D208">MMULT(MMULT(C112:D112-$C$167:$D$167,$G$180:$H$181),TRANSPOSE(C112:D112-$C$167:$D$167))</f>
        <v>24.368420644951293</v>
      </c>
      <c r="E208" s="8">
        <f t="array" ref="E208">MMULT(MMULT(C112:D112-$C$168:$D$168,$G$183:$H$184),TRANSPOSE(C112:D112-$C$168:$D$168))</f>
        <v>2.8752043679521746</v>
      </c>
      <c r="F208" s="159" t="s">
        <v>668</v>
      </c>
    </row>
    <row r="209" spans="2:6">
      <c r="B209" s="6">
        <f t="shared" si="5"/>
        <v>17</v>
      </c>
      <c r="C209" s="68">
        <f t="array" ref="C209">MMULT(MMULT(C113:D113-$C$166:$D$166,$G$177:$H$178),TRANSPOSE(C113:D113-$C$166:$D$166))</f>
        <v>0.56564813665286295</v>
      </c>
      <c r="D209" s="169">
        <f t="array" ref="D209">MMULT(MMULT(C113:D113-$C$167:$D$167,$G$180:$H$181),TRANSPOSE(C113:D113-$C$167:$D$167))</f>
        <v>33.28207372025112</v>
      </c>
      <c r="E209" s="8">
        <f t="array" ref="E209">MMULT(MMULT(C113:D113-$C$168:$D$168,$G$183:$H$184),TRANSPOSE(C113:D113-$C$168:$D$168))</f>
        <v>3.6485285428015457</v>
      </c>
      <c r="F209" s="159" t="s">
        <v>668</v>
      </c>
    </row>
    <row r="210" spans="2:6">
      <c r="B210" s="6">
        <f t="shared" si="5"/>
        <v>18</v>
      </c>
      <c r="C210" s="68">
        <f t="array" ref="C210">MMULT(MMULT(C114:D114-$C$166:$D$166,$G$177:$H$178),TRANSPOSE(C114:D114-$C$166:$D$166))</f>
        <v>0.85194879877226948</v>
      </c>
      <c r="D210" s="169">
        <f t="array" ref="D210">MMULT(MMULT(C114:D114-$C$167:$D$167,$G$180:$H$181),TRANSPOSE(C114:D114-$C$167:$D$167))</f>
        <v>30.24847606683683</v>
      </c>
      <c r="E210" s="8">
        <f t="array" ref="E210">MMULT(MMULT(C114:D114-$C$168:$D$168,$G$183:$H$184),TRANSPOSE(C114:D114-$C$168:$D$168))</f>
        <v>4.6070793545535844</v>
      </c>
      <c r="F210" s="159" t="s">
        <v>668</v>
      </c>
    </row>
    <row r="211" spans="2:6">
      <c r="B211" s="6">
        <f t="shared" si="5"/>
        <v>19</v>
      </c>
      <c r="C211" s="69">
        <f t="array" ref="C211">MMULT(MMULT(C115:D115-$C$166:$D$166,$G$177:$H$178),TRANSPOSE(C115:D115-$C$166:$D$166))</f>
        <v>0.45057496987295353</v>
      </c>
      <c r="D211" s="171">
        <f t="array" ref="D211">MMULT(MMULT(C115:D115-$C$167:$D$167,$G$180:$H$181),TRANSPOSE(C115:D115-$C$167:$D$167))</f>
        <v>29.9080408720984</v>
      </c>
      <c r="E211" s="8">
        <f t="array" ref="E211">MMULT(MMULT(C115:D115-$C$168:$D$168,$G$183:$H$184),TRANSPOSE(C115:D115-$C$168:$D$168))</f>
        <v>3.5399051326604591</v>
      </c>
      <c r="F211" s="159" t="s">
        <v>668</v>
      </c>
    </row>
    <row r="212" spans="2:6">
      <c r="B212" s="6">
        <f t="shared" si="5"/>
        <v>20</v>
      </c>
      <c r="C212" s="170">
        <f t="array" ref="C212">MMULT(MMULT(C116:D116-$C$166:$D$166,$G$177:$H$178),TRANSPOSE(C116:D116-$C$166:$D$166))</f>
        <v>46.749611547508863</v>
      </c>
      <c r="D212" s="67">
        <f t="array" ref="D212">MMULT(MMULT(C116:D116-$C$167:$D$167,$G$180:$H$181),TRANSPOSE(C116:D116-$C$167:$D$167))</f>
        <v>1.3614578487704248</v>
      </c>
      <c r="E212" s="169">
        <f t="array" ref="E212">MMULT(MMULT(C116:D116-$C$168:$D$168,$G$183:$H$184),TRANSPOSE(C116:D116-$C$168:$D$168))</f>
        <v>42.582167838868706</v>
      </c>
      <c r="F212" s="159" t="s">
        <v>669</v>
      </c>
    </row>
    <row r="213" spans="2:6">
      <c r="B213" s="6">
        <f t="shared" si="5"/>
        <v>21</v>
      </c>
      <c r="C213" s="65">
        <f t="array" ref="C213">MMULT(MMULT(C117:D117-$C$166:$D$166,$G$177:$H$178),TRANSPOSE(C117:D117-$C$166:$D$166))</f>
        <v>28.287732700781362</v>
      </c>
      <c r="D213" s="68">
        <f t="array" ref="D213">MMULT(MMULT(C117:D117-$C$167:$D$167,$G$180:$H$181),TRANSPOSE(C117:D117-$C$167:$D$167))</f>
        <v>0.19769343317446963</v>
      </c>
      <c r="E213" s="169">
        <f t="array" ref="E213">MMULT(MMULT(C117:D117-$C$168:$D$168,$G$183:$H$184),TRANSPOSE(C117:D117-$C$168:$D$168))</f>
        <v>23.210727037879515</v>
      </c>
      <c r="F213" s="159" t="s">
        <v>669</v>
      </c>
    </row>
    <row r="214" spans="2:6">
      <c r="B214" s="6">
        <f t="shared" si="5"/>
        <v>22</v>
      </c>
      <c r="C214" s="65">
        <f t="array" ref="C214">MMULT(MMULT(C118:D118-$C$166:$D$166,$G$177:$H$178),TRANSPOSE(C118:D118-$C$166:$D$166))</f>
        <v>34.584558192572082</v>
      </c>
      <c r="D214" s="68">
        <f t="array" ref="D214">MMULT(MMULT(C118:D118-$C$167:$D$167,$G$180:$H$181),TRANSPOSE(C118:D118-$C$167:$D$167))</f>
        <v>0.52458696889933432</v>
      </c>
      <c r="E214" s="169">
        <f t="array" ref="E214">MMULT(MMULT(C118:D118-$C$168:$D$168,$G$183:$H$184),TRANSPOSE(C118:D118-$C$168:$D$168))</f>
        <v>21.035341876319052</v>
      </c>
      <c r="F214" s="159" t="s">
        <v>669</v>
      </c>
    </row>
    <row r="215" spans="2:6">
      <c r="B215" s="6">
        <f t="shared" si="5"/>
        <v>23</v>
      </c>
      <c r="C215" s="65">
        <f t="array" ref="C215">MMULT(MMULT(C119:D119-$C$166:$D$166,$G$177:$H$178),TRANSPOSE(C119:D119-$C$166:$D$166))</f>
        <v>61.502482354357042</v>
      </c>
      <c r="D215" s="68">
        <f t="array" ref="D215">MMULT(MMULT(C119:D119-$C$167:$D$167,$G$180:$H$181),TRANSPOSE(C119:D119-$C$167:$D$167))</f>
        <v>2.4686357280256539</v>
      </c>
      <c r="E215" s="169">
        <f t="array" ref="E215">MMULT(MMULT(C119:D119-$C$168:$D$168,$G$183:$H$184),TRANSPOSE(C119:D119-$C$168:$D$168))</f>
        <v>27.915777942502078</v>
      </c>
      <c r="F215" s="159" t="s">
        <v>669</v>
      </c>
    </row>
    <row r="216" spans="2:6">
      <c r="B216" s="6">
        <f t="shared" si="5"/>
        <v>24</v>
      </c>
      <c r="C216" s="65">
        <f t="array" ref="C216">MMULT(MMULT(C120:D120-$C$166:$D$166,$G$177:$H$178),TRANSPOSE(C120:D120-$C$166:$D$166))</f>
        <v>27.401065542571956</v>
      </c>
      <c r="D216" s="68">
        <f t="array" ref="D216">MMULT(MMULT(C120:D120-$C$167:$D$167,$G$180:$H$181),TRANSPOSE(C120:D120-$C$167:$D$167))</f>
        <v>1.4771980454144518</v>
      </c>
      <c r="E216" s="169">
        <f t="array" ref="E216">MMULT(MMULT(C120:D120-$C$168:$D$168,$G$183:$H$184),TRANSPOSE(C120:D120-$C$168:$D$168))</f>
        <v>45.231423390665235</v>
      </c>
      <c r="F216" s="159" t="s">
        <v>669</v>
      </c>
    </row>
    <row r="217" spans="2:6">
      <c r="B217" s="6">
        <f t="shared" si="5"/>
        <v>25</v>
      </c>
      <c r="C217" s="65">
        <f t="array" ref="C217">MMULT(MMULT(C121:D121-$C$166:$D$166,$G$177:$H$178),TRANSPOSE(C121:D121-$C$166:$D$166))</f>
        <v>23.786457705139085</v>
      </c>
      <c r="D217" s="68">
        <f t="array" ref="D217">MMULT(MMULT(C121:D121-$C$167:$D$167,$G$180:$H$181),TRANSPOSE(C121:D121-$C$167:$D$167))</f>
        <v>4.3935848235348613</v>
      </c>
      <c r="E217" s="169">
        <f t="array" ref="E217">MMULT(MMULT(C121:D121-$C$168:$D$168,$G$183:$H$184),TRANSPOSE(C121:D121-$C$168:$D$168))</f>
        <v>54.180344465493683</v>
      </c>
      <c r="F217" s="159" t="s">
        <v>669</v>
      </c>
    </row>
    <row r="218" spans="2:6">
      <c r="B218" s="6">
        <f t="shared" si="5"/>
        <v>26</v>
      </c>
      <c r="C218" s="65">
        <f t="array" ref="C218">MMULT(MMULT(C122:D122-$C$166:$D$166,$G$177:$H$178),TRANSPOSE(C122:D122-$C$166:$D$166))</f>
        <v>40.635807343186855</v>
      </c>
      <c r="D218" s="68">
        <f t="array" ref="D218">MMULT(MMULT(C122:D122-$C$167:$D$167,$G$180:$H$181),TRANSPOSE(C122:D122-$C$167:$D$167))</f>
        <v>4.957276711858472</v>
      </c>
      <c r="E218" s="169">
        <f t="array" ref="E218">MMULT(MMULT(C122:D122-$C$168:$D$168,$G$183:$H$184),TRANSPOSE(C122:D122-$C$168:$D$168))</f>
        <v>75.907968111895443</v>
      </c>
      <c r="F218" s="159" t="s">
        <v>669</v>
      </c>
    </row>
    <row r="219" spans="2:6">
      <c r="B219" s="6">
        <f t="shared" si="5"/>
        <v>27</v>
      </c>
      <c r="C219" s="65">
        <f t="array" ref="C219">MMULT(MMULT(C123:D123-$C$166:$D$166,$G$177:$H$178),TRANSPOSE(C123:D123-$C$166:$D$166))</f>
        <v>47.280677492735229</v>
      </c>
      <c r="D219" s="68">
        <f t="array" ref="D219">MMULT(MMULT(C123:D123-$C$167:$D$167,$G$180:$H$181),TRANSPOSE(C123:D123-$C$167:$D$167))</f>
        <v>2.4874775898531496</v>
      </c>
      <c r="E219" s="169">
        <f t="array" ref="E219">MMULT(MMULT(C123:D123-$C$168:$D$168,$G$183:$H$184),TRANSPOSE(C123:D123-$C$168:$D$168))</f>
        <v>53.601753299719128</v>
      </c>
      <c r="F219" s="159" t="s">
        <v>669</v>
      </c>
    </row>
    <row r="220" spans="2:6">
      <c r="B220" s="6">
        <f t="shared" si="5"/>
        <v>28</v>
      </c>
      <c r="C220" s="65">
        <f t="array" ref="C220">MMULT(MMULT(C124:D124-$C$166:$D$166,$G$177:$H$178),TRANSPOSE(C124:D124-$C$166:$D$166))</f>
        <v>21.591499150210851</v>
      </c>
      <c r="D220" s="68">
        <f t="array" ref="D220">MMULT(MMULT(C124:D124-$C$167:$D$167,$G$180:$H$181),TRANSPOSE(C124:D124-$C$167:$D$167))</f>
        <v>3.3315445845762115</v>
      </c>
      <c r="E220" s="169">
        <f t="array" ref="E220">MMULT(MMULT(C124:D124-$C$168:$D$168,$G$183:$H$184),TRANSPOSE(C124:D124-$C$168:$D$168))</f>
        <v>46.190598342478303</v>
      </c>
      <c r="F220" s="159" t="s">
        <v>669</v>
      </c>
    </row>
    <row r="221" spans="2:6">
      <c r="B221" s="6">
        <f t="shared" si="5"/>
        <v>29</v>
      </c>
      <c r="C221" s="65">
        <f t="array" ref="C221">MMULT(MMULT(C125:D125-$C$166:$D$166,$G$177:$H$178),TRANSPOSE(C125:D125-$C$166:$D$166))</f>
        <v>10.84937080712943</v>
      </c>
      <c r="D221" s="68">
        <f t="array" ref="D221">MMULT(MMULT(C125:D125-$C$167:$D$167,$G$180:$H$181),TRANSPOSE(C125:D125-$C$167:$D$167))</f>
        <v>4.2210650753021781</v>
      </c>
      <c r="E221" s="169">
        <f t="array" ref="E221">MMULT(MMULT(C125:D125-$C$168:$D$168,$G$183:$H$184),TRANSPOSE(C125:D125-$C$168:$D$168))</f>
        <v>13.372432133788543</v>
      </c>
      <c r="F221" s="159" t="s">
        <v>669</v>
      </c>
    </row>
    <row r="222" spans="2:6">
      <c r="B222" s="6">
        <f t="shared" si="5"/>
        <v>30</v>
      </c>
      <c r="C222" s="65">
        <f t="array" ref="C222">MMULT(MMULT(C126:D126-$C$166:$D$166,$G$177:$H$178),TRANSPOSE(C126:D126-$C$166:$D$166))</f>
        <v>13.760006662611159</v>
      </c>
      <c r="D222" s="68">
        <f t="array" ref="D222">MMULT(MMULT(C126:D126-$C$167:$D$167,$G$180:$H$181),TRANSPOSE(C126:D126-$C$167:$D$167))</f>
        <v>3.927975695716817</v>
      </c>
      <c r="E222" s="169">
        <f t="array" ref="E222">MMULT(MMULT(C126:D126-$C$168:$D$168,$G$183:$H$184),TRANSPOSE(C126:D126-$C$168:$D$168))</f>
        <v>11.763237506545815</v>
      </c>
      <c r="F222" s="159" t="s">
        <v>669</v>
      </c>
    </row>
    <row r="223" spans="2:6">
      <c r="B223" s="6">
        <f t="shared" si="5"/>
        <v>31</v>
      </c>
      <c r="C223" s="65">
        <f t="array" ref="C223">MMULT(MMULT(C127:D127-$C$166:$D$166,$G$177:$H$178),TRANSPOSE(C127:D127-$C$166:$D$166))</f>
        <v>23.864932723803829</v>
      </c>
      <c r="D223" s="68">
        <f t="array" ref="D223">MMULT(MMULT(C127:D127-$C$167:$D$167,$G$180:$H$181),TRANSPOSE(C127:D127-$C$167:$D$167))</f>
        <v>2.4046190940019732</v>
      </c>
      <c r="E223" s="169">
        <f t="array" ref="E223">MMULT(MMULT(C127:D127-$C$168:$D$168,$G$183:$H$184),TRANSPOSE(C127:D127-$C$168:$D$168))</f>
        <v>14.076645098727703</v>
      </c>
      <c r="F223" s="159" t="s">
        <v>669</v>
      </c>
    </row>
    <row r="224" spans="2:6">
      <c r="B224" s="6">
        <f t="shared" si="5"/>
        <v>32</v>
      </c>
      <c r="C224" s="65">
        <f t="array" ref="C224">MMULT(MMULT(C128:D128-$C$166:$D$166,$G$177:$H$178),TRANSPOSE(C128:D128-$C$166:$D$166))</f>
        <v>38.382249063468926</v>
      </c>
      <c r="D224" s="68">
        <f t="array" ref="D224">MMULT(MMULT(C128:D128-$C$167:$D$167,$G$180:$H$181),TRANSPOSE(C128:D128-$C$167:$D$167))</f>
        <v>0.82912004822507757</v>
      </c>
      <c r="E224" s="169">
        <f t="array" ref="E224">MMULT(MMULT(C128:D128-$C$168:$D$168,$G$183:$H$184),TRANSPOSE(C128:D128-$C$168:$D$168))</f>
        <v>20.789463693699876</v>
      </c>
      <c r="F224" s="159" t="s">
        <v>669</v>
      </c>
    </row>
    <row r="225" spans="2:6">
      <c r="B225" s="6">
        <f t="shared" si="5"/>
        <v>33</v>
      </c>
      <c r="C225" s="65">
        <f t="array" ref="C225">MMULT(MMULT(C129:D129-$C$166:$D$166,$G$177:$H$178),TRANSPOSE(C129:D129-$C$166:$D$166))</f>
        <v>48.320884647207329</v>
      </c>
      <c r="D225" s="68">
        <f t="array" ref="D225">MMULT(MMULT(C129:D129-$C$167:$D$167,$G$180:$H$181),TRANSPOSE(C129:D129-$C$167:$D$167))</f>
        <v>0.86253709266762235</v>
      </c>
      <c r="E225" s="169">
        <f t="array" ref="E225">MMULT(MMULT(C129:D129-$C$168:$D$168,$G$183:$H$184),TRANSPOSE(C129:D129-$C$168:$D$168))</f>
        <v>29.519350009195314</v>
      </c>
      <c r="F225" s="159" t="s">
        <v>669</v>
      </c>
    </row>
    <row r="226" spans="2:6">
      <c r="B226" s="6">
        <f t="shared" si="5"/>
        <v>34</v>
      </c>
      <c r="C226" s="65">
        <f t="array" ref="C226">MMULT(MMULT(C130:D130-$C$166:$D$166,$G$177:$H$178),TRANSPOSE(C130:D130-$C$166:$D$166))</f>
        <v>45.239549059644162</v>
      </c>
      <c r="D226" s="68">
        <f t="array" ref="D226">MMULT(MMULT(C130:D130-$C$167:$D$167,$G$180:$H$181),TRANSPOSE(C130:D130-$C$167:$D$167))</f>
        <v>0.79190949948667122</v>
      </c>
      <c r="E226" s="169">
        <f t="array" ref="E226">MMULT(MMULT(C130:D130-$C$168:$D$168,$G$183:$H$184),TRANSPOSE(C130:D130-$C$168:$D$168))</f>
        <v>24.899791057994847</v>
      </c>
      <c r="F226" s="159" t="s">
        <v>669</v>
      </c>
    </row>
    <row r="227" spans="2:6">
      <c r="B227" s="6">
        <f t="shared" si="5"/>
        <v>35</v>
      </c>
      <c r="C227" s="65">
        <f t="array" ref="C227">MMULT(MMULT(C131:D131-$C$166:$D$166,$G$177:$H$178),TRANSPOSE(C131:D131-$C$166:$D$166))</f>
        <v>40.012178556760382</v>
      </c>
      <c r="D227" s="68">
        <f t="array" ref="D227">MMULT(MMULT(C131:D131-$C$167:$D$167,$G$180:$H$181),TRANSPOSE(C131:D131-$C$167:$D$167))</f>
        <v>0.53509174112495239</v>
      </c>
      <c r="E227" s="169">
        <f t="array" ref="E227">MMULT(MMULT(C131:D131-$C$168:$D$168,$G$183:$H$184),TRANSPOSE(C131:D131-$C$168:$D$168))</f>
        <v>23.265320412726147</v>
      </c>
      <c r="F227" s="159" t="s">
        <v>669</v>
      </c>
    </row>
    <row r="228" spans="2:6">
      <c r="B228" s="6">
        <f t="shared" si="5"/>
        <v>36</v>
      </c>
      <c r="C228" s="65">
        <f t="array" ref="C228">MMULT(MMULT(C132:D132-$C$166:$D$166,$G$177:$H$178),TRANSPOSE(C132:D132-$C$166:$D$166))</f>
        <v>35.594645461278247</v>
      </c>
      <c r="D228" s="68">
        <f t="array" ref="D228">MMULT(MMULT(C132:D132-$C$167:$D$167,$G$180:$H$181),TRANSPOSE(C132:D132-$C$167:$D$167))</f>
        <v>0.23986397554653455</v>
      </c>
      <c r="E228" s="169">
        <f t="array" ref="E228">MMULT(MMULT(C132:D132-$C$168:$D$168,$G$183:$H$184),TRANSPOSE(C132:D132-$C$168:$D$168))</f>
        <v>23.668282791776882</v>
      </c>
      <c r="F228" s="159" t="s">
        <v>669</v>
      </c>
    </row>
    <row r="229" spans="2:6">
      <c r="B229" s="6">
        <f t="shared" si="5"/>
        <v>37</v>
      </c>
      <c r="C229" s="65">
        <f t="array" ref="C229">MMULT(MMULT(C133:D133-$C$166:$D$166,$G$177:$H$178),TRANSPOSE(C133:D133-$C$166:$D$166))</f>
        <v>54.138108458601401</v>
      </c>
      <c r="D229" s="68">
        <f t="array" ref="D229">MMULT(MMULT(C133:D133-$C$167:$D$167,$G$180:$H$181),TRANSPOSE(C133:D133-$C$167:$D$167))</f>
        <v>1.7495545287704997</v>
      </c>
      <c r="E229" s="169">
        <f t="array" ref="E229">MMULT(MMULT(C133:D133-$C$168:$D$168,$G$183:$H$184),TRANSPOSE(C133:D133-$C$168:$D$168))</f>
        <v>37.820249842340125</v>
      </c>
      <c r="F229" s="159" t="s">
        <v>669</v>
      </c>
    </row>
    <row r="230" spans="2:6">
      <c r="B230" s="6">
        <f t="shared" si="5"/>
        <v>38</v>
      </c>
      <c r="C230" s="65">
        <f t="array" ref="C230">MMULT(MMULT(C134:D134-$C$166:$D$166,$G$177:$H$178),TRANSPOSE(C134:D134-$C$166:$D$166))</f>
        <v>51.773409719178133</v>
      </c>
      <c r="D230" s="69">
        <f t="array" ref="D230">MMULT(MMULT(C134:D134-$C$167:$D$167,$G$180:$H$181),TRANSPOSE(C134:D134-$C$167:$D$167))</f>
        <v>1.2388075150506157</v>
      </c>
      <c r="E230" s="171">
        <f t="array" ref="E230">MMULT(MMULT(C134:D134-$C$168:$D$168,$G$183:$H$184),TRANSPOSE(C134:D134-$C$168:$D$168))</f>
        <v>28.201372524497341</v>
      </c>
      <c r="F230" s="159" t="s">
        <v>669</v>
      </c>
    </row>
    <row r="231" spans="2:6">
      <c r="B231" s="6">
        <f t="shared" si="5"/>
        <v>39</v>
      </c>
      <c r="C231" s="8">
        <f t="array" ref="C231">MMULT(MMULT(C135:D135-$C$166:$D$166,$G$177:$H$178),TRANSPOSE(C135:D135-$C$166:$D$166))</f>
        <v>16.962428337959714</v>
      </c>
      <c r="D231" s="170">
        <f t="array" ref="D231">MMULT(MMULT(C135:D135-$C$167:$D$167,$G$180:$H$181),TRANSPOSE(C135:D135-$C$167:$D$167))</f>
        <v>60.41980542111726</v>
      </c>
      <c r="E231" s="67">
        <f t="array" ref="E231">MMULT(MMULT(C135:D135-$C$168:$D$168,$G$183:$H$184),TRANSPOSE(C135:D135-$C$168:$D$168))</f>
        <v>0.30121739719764917</v>
      </c>
      <c r="F231" s="159" t="s">
        <v>670</v>
      </c>
    </row>
    <row r="232" spans="2:6">
      <c r="B232" s="6">
        <f t="shared" si="5"/>
        <v>40</v>
      </c>
      <c r="C232" s="8">
        <f t="array" ref="C232">MMULT(MMULT(C136:D136-$C$166:$D$166,$G$177:$H$178),TRANSPOSE(C136:D136-$C$166:$D$166))</f>
        <v>10.535096992417294</v>
      </c>
      <c r="D232" s="65">
        <f t="array" ref="D232">MMULT(MMULT(C136:D136-$C$167:$D$167,$G$180:$H$181),TRANSPOSE(C136:D136-$C$167:$D$167))</f>
        <v>52.532423871569385</v>
      </c>
      <c r="E232" s="68">
        <f t="array" ref="E232">MMULT(MMULT(C136:D136-$C$168:$D$168,$G$183:$H$184),TRANSPOSE(C136:D136-$C$168:$D$168))</f>
        <v>0.11536390227709381</v>
      </c>
      <c r="F232" s="159" t="s">
        <v>670</v>
      </c>
    </row>
    <row r="233" spans="2:6">
      <c r="B233" s="6">
        <f t="shared" si="5"/>
        <v>41</v>
      </c>
      <c r="C233" s="8">
        <f t="array" ref="C233">MMULT(MMULT(C137:D137-$C$166:$D$166,$G$177:$H$178),TRANSPOSE(C137:D137-$C$166:$D$166))</f>
        <v>1.0437315769275379</v>
      </c>
      <c r="D233" s="65">
        <f t="array" ref="D233">MMULT(MMULT(C137:D137-$C$167:$D$167,$G$180:$H$181),TRANSPOSE(C137:D137-$C$167:$D$167))</f>
        <v>31.54062120733677</v>
      </c>
      <c r="E233" s="68">
        <f t="array" ref="E233">MMULT(MMULT(C137:D137-$C$168:$D$168,$G$183:$H$184),TRANSPOSE(C137:D137-$C$168:$D$168))</f>
        <v>0.77753868365501821</v>
      </c>
      <c r="F233" s="159" t="s">
        <v>670</v>
      </c>
    </row>
    <row r="234" spans="2:6">
      <c r="B234" s="6">
        <f t="shared" si="5"/>
        <v>42</v>
      </c>
      <c r="C234" s="8">
        <f t="array" ref="C234">MMULT(MMULT(C138:D138-$C$166:$D$166,$G$177:$H$178),TRANSPOSE(C138:D138-$C$166:$D$166))</f>
        <v>0.88521619729926226</v>
      </c>
      <c r="D234" s="65">
        <f t="array" ref="D234">MMULT(MMULT(C138:D138-$C$167:$D$167,$G$180:$H$181),TRANSPOSE(C138:D138-$C$167:$D$167))</f>
        <v>18.256680072089868</v>
      </c>
      <c r="E234" s="68">
        <f t="array" ref="E234">MMULT(MMULT(C138:D138-$C$168:$D$168,$G$183:$H$184),TRANSPOSE(C138:D138-$C$168:$D$168))</f>
        <v>3.1026549726936108</v>
      </c>
      <c r="F234" s="159" t="s">
        <v>670</v>
      </c>
    </row>
    <row r="235" spans="2:6">
      <c r="B235" s="6">
        <f t="shared" si="5"/>
        <v>43</v>
      </c>
      <c r="C235" s="8">
        <f t="array" ref="C235">MMULT(MMULT(C139:D139-$C$166:$D$166,$G$177:$H$178),TRANSPOSE(C139:D139-$C$166:$D$166))</f>
        <v>30.072389838726227</v>
      </c>
      <c r="D235" s="65">
        <f t="array" ref="D235">MMULT(MMULT(C139:D139-$C$167:$D$167,$G$180:$H$181),TRANSPOSE(C139:D139-$C$167:$D$167))</f>
        <v>82.189213906057006</v>
      </c>
      <c r="E235" s="68">
        <f t="array" ref="E235">MMULT(MMULT(C139:D139-$C$168:$D$168,$G$183:$H$184),TRANSPOSE(C139:D139-$C$168:$D$168))</f>
        <v>2.6430934710175444</v>
      </c>
      <c r="F235" s="159" t="s">
        <v>670</v>
      </c>
    </row>
    <row r="236" spans="2:6">
      <c r="B236" s="6">
        <f t="shared" si="5"/>
        <v>44</v>
      </c>
      <c r="C236" s="8">
        <f t="array" ref="C236">MMULT(MMULT(C140:D140-$C$166:$D$166,$G$177:$H$178),TRANSPOSE(C140:D140-$C$166:$D$166))</f>
        <v>42.964716091668947</v>
      </c>
      <c r="D236" s="65">
        <f t="array" ref="D236">MMULT(MMULT(C140:D140-$C$167:$D$167,$G$180:$H$181),TRANSPOSE(C140:D140-$C$167:$D$167))</f>
        <v>82.34461728026713</v>
      </c>
      <c r="E236" s="68">
        <f t="array" ref="E236">MMULT(MMULT(C140:D140-$C$168:$D$168,$G$183:$H$184),TRANSPOSE(C140:D140-$C$168:$D$168))</f>
        <v>2.8299920390565463</v>
      </c>
      <c r="F236" s="159" t="s">
        <v>670</v>
      </c>
    </row>
    <row r="237" spans="2:6">
      <c r="B237" s="6">
        <f t="shared" si="5"/>
        <v>45</v>
      </c>
      <c r="C237" s="8">
        <f t="array" ref="C237">MMULT(MMULT(C141:D141-$C$166:$D$166,$G$177:$H$178),TRANSPOSE(C141:D141-$C$166:$D$166))</f>
        <v>60.457494890825473</v>
      </c>
      <c r="D237" s="65">
        <f t="array" ref="D237">MMULT(MMULT(C141:D141-$C$167:$D$167,$G$180:$H$181),TRANSPOSE(C141:D141-$C$167:$D$167))</f>
        <v>97.670410442454539</v>
      </c>
      <c r="E237" s="68">
        <f t="array" ref="E237">MMULT(MMULT(C141:D141-$C$168:$D$168,$G$183:$H$184),TRANSPOSE(C141:D141-$C$168:$D$168))</f>
        <v>4.8914440410909457</v>
      </c>
      <c r="F237" s="159" t="s">
        <v>670</v>
      </c>
    </row>
    <row r="238" spans="2:6">
      <c r="B238" s="6">
        <f t="shared" si="5"/>
        <v>46</v>
      </c>
      <c r="C238" s="8">
        <f t="array" ref="C238">MMULT(MMULT(C142:D142-$C$166:$D$166,$G$177:$H$178),TRANSPOSE(C142:D142-$C$166:$D$166))</f>
        <v>34.61587700632537</v>
      </c>
      <c r="D238" s="65">
        <f t="array" ref="D238">MMULT(MMULT(C142:D142-$C$167:$D$167,$G$180:$H$181),TRANSPOSE(C142:D142-$C$167:$D$167))</f>
        <v>75.715375026941089</v>
      </c>
      <c r="E238" s="68">
        <f t="array" ref="E238">MMULT(MMULT(C142:D142-$C$168:$D$168,$G$183:$H$184),TRANSPOSE(C142:D142-$C$168:$D$168))</f>
        <v>1.8026090459609179</v>
      </c>
      <c r="F238" s="159" t="s">
        <v>670</v>
      </c>
    </row>
    <row r="239" spans="2:6">
      <c r="B239" s="6">
        <f t="shared" si="5"/>
        <v>47</v>
      </c>
      <c r="C239" s="8">
        <f t="array" ref="C239">MMULT(MMULT(C143:D143-$C$166:$D$166,$G$177:$H$178),TRANSPOSE(C143:D143-$C$166:$D$166))</f>
        <v>22.768581823133381</v>
      </c>
      <c r="D239" s="65">
        <f t="array" ref="D239">MMULT(MMULT(C143:D143-$C$167:$D$167,$G$180:$H$181),TRANSPOSE(C143:D143-$C$167:$D$167))</f>
        <v>55.430969583313171</v>
      </c>
      <c r="E239" s="68">
        <f t="array" ref="E239">MMULT(MMULT(C143:D143-$C$168:$D$168,$G$183:$H$184),TRANSPOSE(C143:D143-$C$168:$D$168))</f>
        <v>2.8487302652302211</v>
      </c>
      <c r="F239" s="159" t="s">
        <v>670</v>
      </c>
    </row>
    <row r="240" spans="2:6">
      <c r="B240" s="6">
        <f t="shared" si="5"/>
        <v>48</v>
      </c>
      <c r="C240" s="8">
        <f t="array" ref="C240">MMULT(MMULT(C144:D144-$C$166:$D$166,$G$177:$H$178),TRANSPOSE(C144:D144-$C$166:$D$166))</f>
        <v>3.4240512573444946</v>
      </c>
      <c r="D240" s="65">
        <f t="array" ref="D240">MMULT(MMULT(C144:D144-$C$167:$D$167,$G$180:$H$181),TRANSPOSE(C144:D144-$C$167:$D$167))</f>
        <v>31.971414323834033</v>
      </c>
      <c r="E240" s="68">
        <f t="array" ref="E240">MMULT(MMULT(C144:D144-$C$168:$D$168,$G$183:$H$184),TRANSPOSE(C144:D144-$C$168:$D$168))</f>
        <v>1.3738167017712468</v>
      </c>
      <c r="F240" s="159" t="s">
        <v>670</v>
      </c>
    </row>
    <row r="241" spans="1:13">
      <c r="B241" s="6">
        <f t="shared" si="5"/>
        <v>49</v>
      </c>
      <c r="C241" s="8">
        <f t="array" ref="C241">MMULT(MMULT(C145:D145-$C$166:$D$166,$G$177:$H$178),TRANSPOSE(C145:D145-$C$166:$D$166))</f>
        <v>1.105146536837109</v>
      </c>
      <c r="D241" s="65">
        <f t="array" ref="D241">MMULT(MMULT(C145:D145-$C$167:$D$167,$G$180:$H$181),TRANSPOSE(C145:D145-$C$167:$D$167))</f>
        <v>32.484123315941758</v>
      </c>
      <c r="E241" s="68">
        <f t="array" ref="E241">MMULT(MMULT(C145:D145-$C$168:$D$168,$G$183:$H$184),TRANSPOSE(C145:D145-$C$168:$D$168))</f>
        <v>0.73778976265274521</v>
      </c>
      <c r="F241" s="159" t="s">
        <v>670</v>
      </c>
    </row>
    <row r="242" spans="1:13">
      <c r="B242" s="6">
        <f t="shared" si="5"/>
        <v>50</v>
      </c>
      <c r="C242" s="8">
        <f t="array" ref="C242">MMULT(MMULT(C146:D146-$C$166:$D$166,$G$177:$H$178),TRANSPOSE(C146:D146-$C$166:$D$166))</f>
        <v>2.2323197253444613</v>
      </c>
      <c r="D242" s="65">
        <f t="array" ref="D242">MMULT(MMULT(C146:D146-$C$167:$D$167,$G$180:$H$181),TRANSPOSE(C146:D146-$C$167:$D$167))</f>
        <v>28.360147782732511</v>
      </c>
      <c r="E242" s="68">
        <f t="array" ref="E242">MMULT(MMULT(C146:D146-$C$168:$D$168,$G$183:$H$184),TRANSPOSE(C146:D146-$C$168:$D$168))</f>
        <v>1.8364795354371883</v>
      </c>
      <c r="F242" s="159" t="s">
        <v>670</v>
      </c>
    </row>
    <row r="243" spans="1:13">
      <c r="B243" s="6">
        <f t="shared" si="5"/>
        <v>51</v>
      </c>
      <c r="C243" s="8">
        <f t="array" ref="C243">MMULT(MMULT(C147:D147-$C$166:$D$166,$G$177:$H$178),TRANSPOSE(C147:D147-$C$166:$D$166))</f>
        <v>3.4919789253397999</v>
      </c>
      <c r="D243" s="65">
        <f t="array" ref="D243">MMULT(MMULT(C147:D147-$C$167:$D$167,$G$180:$H$181),TRANSPOSE(C147:D147-$C$167:$D$167))</f>
        <v>45.4182795685049</v>
      </c>
      <c r="E243" s="68">
        <f t="array" ref="E243">MMULT(MMULT(C147:D147-$C$168:$D$168,$G$183:$H$184),TRANSPOSE(C147:D147-$C$168:$D$168))</f>
        <v>2.0823972644574549</v>
      </c>
      <c r="F243" s="159" t="s">
        <v>670</v>
      </c>
    </row>
    <row r="244" spans="1:13">
      <c r="B244" s="6">
        <f t="shared" si="5"/>
        <v>52</v>
      </c>
      <c r="C244" s="8">
        <f t="array" ref="C244">MMULT(MMULT(C148:D148-$C$166:$D$166,$G$177:$H$178),TRANSPOSE(C148:D148-$C$166:$D$166))</f>
        <v>13.668799552446137</v>
      </c>
      <c r="D244" s="65">
        <f t="array" ref="D244">MMULT(MMULT(C148:D148-$C$167:$D$167,$G$180:$H$181),TRANSPOSE(C148:D148-$C$167:$D$167))</f>
        <v>62.07326681814699</v>
      </c>
      <c r="E244" s="68">
        <f t="array" ref="E244">MMULT(MMULT(C148:D148-$C$168:$D$168,$G$183:$H$184),TRANSPOSE(C148:D148-$C$168:$D$168))</f>
        <v>1.4306210339884549</v>
      </c>
      <c r="F244" s="159" t="s">
        <v>670</v>
      </c>
    </row>
    <row r="245" spans="1:13">
      <c r="B245" s="6">
        <f t="shared" si="5"/>
        <v>53</v>
      </c>
      <c r="C245" s="8">
        <f t="array" ref="C245">MMULT(MMULT(C149:D149-$C$166:$D$166,$G$177:$H$178),TRANSPOSE(C149:D149-$C$166:$D$166))</f>
        <v>11.629254375566296</v>
      </c>
      <c r="D245" s="65">
        <f t="array" ref="D245">MMULT(MMULT(C149:D149-$C$167:$D$167,$G$180:$H$181),TRANSPOSE(C149:D149-$C$167:$D$167))</f>
        <v>59.924745967843549</v>
      </c>
      <c r="E245" s="68">
        <f t="array" ref="E245">MMULT(MMULT(C149:D149-$C$168:$D$168,$G$183:$H$184),TRANSPOSE(C149:D149-$C$168:$D$168))</f>
        <v>1.6944466352563361</v>
      </c>
      <c r="F245" s="159" t="s">
        <v>670</v>
      </c>
    </row>
    <row r="246" spans="1:13">
      <c r="B246" s="6">
        <f t="shared" si="5"/>
        <v>54</v>
      </c>
      <c r="C246" s="8">
        <f t="array" ref="C246">MMULT(MMULT(C150:D150-$C$166:$D$166,$G$177:$H$178),TRANSPOSE(C150:D150-$C$166:$D$166))</f>
        <v>3.3754410155491668</v>
      </c>
      <c r="D246" s="65">
        <f t="array" ref="D246">MMULT(MMULT(C150:D150-$C$167:$D$167,$G$180:$H$181),TRANSPOSE(C150:D150-$C$167:$D$167))</f>
        <v>28.465943133932079</v>
      </c>
      <c r="E246" s="68">
        <f t="array" ref="E246">MMULT(MMULT(C150:D150-$C$168:$D$168,$G$183:$H$184),TRANSPOSE(C150:D150-$C$168:$D$168))</f>
        <v>2.6755614942962627</v>
      </c>
      <c r="F246" s="159" t="s">
        <v>670</v>
      </c>
    </row>
    <row r="247" spans="1:13">
      <c r="B247" s="6">
        <f t="shared" si="5"/>
        <v>55</v>
      </c>
      <c r="C247" s="8">
        <f t="array" ref="C247">MMULT(MMULT(C151:D151-$C$166:$D$166,$G$177:$H$178),TRANSPOSE(C151:D151-$C$166:$D$166))</f>
        <v>9.6140929428002533</v>
      </c>
      <c r="D247" s="65">
        <f t="array" ref="D247">MMULT(MMULT(C151:D151-$C$167:$D$167,$G$180:$H$181),TRANSPOSE(C151:D151-$C$167:$D$167))</f>
        <v>51.30760765386222</v>
      </c>
      <c r="E247" s="68">
        <f t="array" ref="E247">MMULT(MMULT(C151:D151-$C$168:$D$168,$G$183:$H$184),TRANSPOSE(C151:D151-$C$168:$D$168))</f>
        <v>0.11897271953057466</v>
      </c>
      <c r="F247" s="159" t="s">
        <v>670</v>
      </c>
    </row>
    <row r="248" spans="1:13">
      <c r="B248" s="6">
        <f t="shared" si="5"/>
        <v>56</v>
      </c>
      <c r="C248" s="8">
        <f t="array" ref="C248">MMULT(MMULT(C152:D152-$C$166:$D$166,$G$177:$H$178),TRANSPOSE(C152:D152-$C$166:$D$166))</f>
        <v>0.34484713735541161</v>
      </c>
      <c r="D248" s="65">
        <f t="array" ref="D248">MMULT(MMULT(C152:D152-$C$167:$D$167,$G$180:$H$181),TRANSPOSE(C152:D152-$C$167:$D$167))</f>
        <v>23.686121352026181</v>
      </c>
      <c r="E248" s="68">
        <f t="array" ref="E248">MMULT(MMULT(C152:D152-$C$168:$D$168,$G$183:$H$184),TRANSPOSE(C152:D152-$C$168:$D$168))</f>
        <v>1.9159364200828835</v>
      </c>
      <c r="F248" s="159" t="s">
        <v>670</v>
      </c>
    </row>
    <row r="249" spans="1:13">
      <c r="B249" s="6">
        <f t="shared" si="5"/>
        <v>57</v>
      </c>
      <c r="C249" s="8">
        <f t="array" ref="C249">MMULT(MMULT(C153:D153-$C$166:$D$166,$G$177:$H$178),TRANSPOSE(C153:D153-$C$166:$D$166))</f>
        <v>2.7641259865588403</v>
      </c>
      <c r="D249" s="65">
        <f t="array" ref="D249">MMULT(MMULT(C153:D153-$C$167:$D$167,$G$180:$H$181),TRANSPOSE(C153:D153-$C$167:$D$167))</f>
        <v>45.696013544087009</v>
      </c>
      <c r="E249" s="69">
        <f t="array" ref="E249">MMULT(MMULT(C153:D153-$C$168:$D$168,$G$183:$H$184),TRANSPOSE(C153:D153-$C$168:$D$168))</f>
        <v>4.8213346143472986</v>
      </c>
      <c r="F249" s="159" t="s">
        <v>670</v>
      </c>
    </row>
    <row r="253" spans="1:13">
      <c r="A253" s="24" t="s">
        <v>726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6" spans="1:13">
      <c r="B256" s="6" t="s">
        <v>707</v>
      </c>
      <c r="C256" s="244" t="s">
        <v>727</v>
      </c>
      <c r="D256" s="244"/>
      <c r="E256" s="244"/>
      <c r="F256" s="6" t="s">
        <v>709</v>
      </c>
    </row>
    <row r="257" spans="2:6">
      <c r="B257" s="6">
        <v>1</v>
      </c>
      <c r="C257" s="67">
        <f t="shared" ref="C257:E276" si="6">IF(C193=MIN($C193:$E193),1,0)</f>
        <v>1</v>
      </c>
      <c r="D257" s="169">
        <f t="shared" si="6"/>
        <v>0</v>
      </c>
      <c r="E257" s="8">
        <f t="shared" si="6"/>
        <v>0</v>
      </c>
      <c r="F257" s="159" t="s">
        <v>668</v>
      </c>
    </row>
    <row r="258" spans="2:6">
      <c r="B258" s="6">
        <f t="shared" ref="B258:B313" si="7">B257+1</f>
        <v>2</v>
      </c>
      <c r="C258" s="68">
        <f t="shared" si="6"/>
        <v>1</v>
      </c>
      <c r="D258" s="169">
        <f t="shared" si="6"/>
        <v>0</v>
      </c>
      <c r="E258" s="8">
        <f t="shared" si="6"/>
        <v>0</v>
      </c>
      <c r="F258" s="159" t="s">
        <v>668</v>
      </c>
    </row>
    <row r="259" spans="2:6">
      <c r="B259" s="6">
        <f t="shared" si="7"/>
        <v>3</v>
      </c>
      <c r="C259" s="68">
        <f t="shared" si="6"/>
        <v>0</v>
      </c>
      <c r="D259" s="169">
        <f t="shared" si="6"/>
        <v>0</v>
      </c>
      <c r="E259" s="8">
        <f t="shared" si="6"/>
        <v>1</v>
      </c>
      <c r="F259" s="159" t="s">
        <v>668</v>
      </c>
    </row>
    <row r="260" spans="2:6">
      <c r="B260" s="6">
        <f t="shared" si="7"/>
        <v>4</v>
      </c>
      <c r="C260" s="68">
        <f t="shared" si="6"/>
        <v>1</v>
      </c>
      <c r="D260" s="169">
        <f t="shared" si="6"/>
        <v>0</v>
      </c>
      <c r="E260" s="8">
        <f t="shared" si="6"/>
        <v>0</v>
      </c>
      <c r="F260" s="159" t="s">
        <v>668</v>
      </c>
    </row>
    <row r="261" spans="2:6">
      <c r="B261" s="6">
        <f t="shared" si="7"/>
        <v>5</v>
      </c>
      <c r="C261" s="68">
        <f t="shared" si="6"/>
        <v>1</v>
      </c>
      <c r="D261" s="169">
        <f t="shared" si="6"/>
        <v>0</v>
      </c>
      <c r="E261" s="8">
        <f t="shared" si="6"/>
        <v>0</v>
      </c>
      <c r="F261" s="159" t="s">
        <v>668</v>
      </c>
    </row>
    <row r="262" spans="2:6">
      <c r="B262" s="6">
        <f t="shared" si="7"/>
        <v>6</v>
      </c>
      <c r="C262" s="68">
        <f t="shared" si="6"/>
        <v>1</v>
      </c>
      <c r="D262" s="169">
        <f t="shared" si="6"/>
        <v>0</v>
      </c>
      <c r="E262" s="8">
        <f t="shared" si="6"/>
        <v>0</v>
      </c>
      <c r="F262" s="159" t="s">
        <v>668</v>
      </c>
    </row>
    <row r="263" spans="2:6">
      <c r="B263" s="6">
        <f t="shared" si="7"/>
        <v>7</v>
      </c>
      <c r="C263" s="68">
        <f t="shared" si="6"/>
        <v>0</v>
      </c>
      <c r="D263" s="169">
        <f t="shared" si="6"/>
        <v>0</v>
      </c>
      <c r="E263" s="8">
        <f t="shared" si="6"/>
        <v>1</v>
      </c>
      <c r="F263" s="159" t="s">
        <v>668</v>
      </c>
    </row>
    <row r="264" spans="2:6">
      <c r="B264" s="6">
        <f t="shared" si="7"/>
        <v>8</v>
      </c>
      <c r="C264" s="68">
        <f t="shared" si="6"/>
        <v>1</v>
      </c>
      <c r="D264" s="169">
        <f t="shared" si="6"/>
        <v>0</v>
      </c>
      <c r="E264" s="8">
        <f t="shared" si="6"/>
        <v>0</v>
      </c>
      <c r="F264" s="159" t="s">
        <v>668</v>
      </c>
    </row>
    <row r="265" spans="2:6">
      <c r="B265" s="6">
        <f t="shared" si="7"/>
        <v>9</v>
      </c>
      <c r="C265" s="68">
        <f t="shared" si="6"/>
        <v>1</v>
      </c>
      <c r="D265" s="169">
        <f t="shared" si="6"/>
        <v>0</v>
      </c>
      <c r="E265" s="8">
        <f t="shared" si="6"/>
        <v>0</v>
      </c>
      <c r="F265" s="159" t="s">
        <v>668</v>
      </c>
    </row>
    <row r="266" spans="2:6">
      <c r="B266" s="6">
        <f t="shared" si="7"/>
        <v>10</v>
      </c>
      <c r="C266" s="68">
        <f t="shared" si="6"/>
        <v>1</v>
      </c>
      <c r="D266" s="169">
        <f t="shared" si="6"/>
        <v>0</v>
      </c>
      <c r="E266" s="8">
        <f t="shared" si="6"/>
        <v>0</v>
      </c>
      <c r="F266" s="159" t="s">
        <v>668</v>
      </c>
    </row>
    <row r="267" spans="2:6">
      <c r="B267" s="6">
        <f t="shared" si="7"/>
        <v>11</v>
      </c>
      <c r="C267" s="68">
        <f t="shared" si="6"/>
        <v>1</v>
      </c>
      <c r="D267" s="169">
        <f t="shared" si="6"/>
        <v>0</v>
      </c>
      <c r="E267" s="8">
        <f t="shared" si="6"/>
        <v>0</v>
      </c>
      <c r="F267" s="159" t="s">
        <v>668</v>
      </c>
    </row>
    <row r="268" spans="2:6">
      <c r="B268" s="6">
        <f t="shared" si="7"/>
        <v>12</v>
      </c>
      <c r="C268" s="68">
        <f t="shared" si="6"/>
        <v>1</v>
      </c>
      <c r="D268" s="169">
        <f t="shared" si="6"/>
        <v>0</v>
      </c>
      <c r="E268" s="8">
        <f t="shared" si="6"/>
        <v>0</v>
      </c>
      <c r="F268" s="159" t="s">
        <v>668</v>
      </c>
    </row>
    <row r="269" spans="2:6">
      <c r="B269" s="6">
        <f t="shared" si="7"/>
        <v>13</v>
      </c>
      <c r="C269" s="68">
        <f t="shared" si="6"/>
        <v>1</v>
      </c>
      <c r="D269" s="169">
        <f t="shared" si="6"/>
        <v>0</v>
      </c>
      <c r="E269" s="8">
        <f t="shared" si="6"/>
        <v>0</v>
      </c>
      <c r="F269" s="159" t="s">
        <v>668</v>
      </c>
    </row>
    <row r="270" spans="2:6">
      <c r="B270" s="6">
        <f t="shared" si="7"/>
        <v>14</v>
      </c>
      <c r="C270" s="68">
        <f t="shared" si="6"/>
        <v>1</v>
      </c>
      <c r="D270" s="169">
        <f t="shared" si="6"/>
        <v>0</v>
      </c>
      <c r="E270" s="8">
        <f t="shared" si="6"/>
        <v>0</v>
      </c>
      <c r="F270" s="159" t="s">
        <v>668</v>
      </c>
    </row>
    <row r="271" spans="2:6">
      <c r="B271" s="6">
        <f t="shared" si="7"/>
        <v>15</v>
      </c>
      <c r="C271" s="68">
        <f t="shared" si="6"/>
        <v>1</v>
      </c>
      <c r="D271" s="169">
        <f t="shared" si="6"/>
        <v>0</v>
      </c>
      <c r="E271" s="8">
        <f t="shared" si="6"/>
        <v>0</v>
      </c>
      <c r="F271" s="159" t="s">
        <v>668</v>
      </c>
    </row>
    <row r="272" spans="2:6">
      <c r="B272" s="6">
        <f t="shared" si="7"/>
        <v>16</v>
      </c>
      <c r="C272" s="68">
        <f t="shared" si="6"/>
        <v>1</v>
      </c>
      <c r="D272" s="169">
        <f t="shared" si="6"/>
        <v>0</v>
      </c>
      <c r="E272" s="8">
        <f t="shared" si="6"/>
        <v>0</v>
      </c>
      <c r="F272" s="159" t="s">
        <v>668</v>
      </c>
    </row>
    <row r="273" spans="2:6">
      <c r="B273" s="6">
        <f t="shared" si="7"/>
        <v>17</v>
      </c>
      <c r="C273" s="68">
        <f t="shared" si="6"/>
        <v>1</v>
      </c>
      <c r="D273" s="169">
        <f t="shared" si="6"/>
        <v>0</v>
      </c>
      <c r="E273" s="8">
        <f t="shared" si="6"/>
        <v>0</v>
      </c>
      <c r="F273" s="159" t="s">
        <v>668</v>
      </c>
    </row>
    <row r="274" spans="2:6">
      <c r="B274" s="6">
        <f t="shared" si="7"/>
        <v>18</v>
      </c>
      <c r="C274" s="68">
        <f t="shared" si="6"/>
        <v>1</v>
      </c>
      <c r="D274" s="169">
        <f t="shared" si="6"/>
        <v>0</v>
      </c>
      <c r="E274" s="8">
        <f t="shared" si="6"/>
        <v>0</v>
      </c>
      <c r="F274" s="159" t="s">
        <v>668</v>
      </c>
    </row>
    <row r="275" spans="2:6">
      <c r="B275" s="6">
        <f t="shared" si="7"/>
        <v>19</v>
      </c>
      <c r="C275" s="69">
        <f t="shared" si="6"/>
        <v>1</v>
      </c>
      <c r="D275" s="171">
        <f t="shared" si="6"/>
        <v>0</v>
      </c>
      <c r="E275" s="8">
        <f t="shared" si="6"/>
        <v>0</v>
      </c>
      <c r="F275" s="159" t="s">
        <v>668</v>
      </c>
    </row>
    <row r="276" spans="2:6">
      <c r="B276" s="6">
        <f t="shared" si="7"/>
        <v>20</v>
      </c>
      <c r="C276" s="170">
        <f t="shared" si="6"/>
        <v>0</v>
      </c>
      <c r="D276" s="67">
        <f t="shared" si="6"/>
        <v>1</v>
      </c>
      <c r="E276" s="169">
        <f t="shared" si="6"/>
        <v>0</v>
      </c>
      <c r="F276" s="159" t="s">
        <v>669</v>
      </c>
    </row>
    <row r="277" spans="2:6">
      <c r="B277" s="6">
        <f t="shared" si="7"/>
        <v>21</v>
      </c>
      <c r="C277" s="65">
        <f t="shared" ref="C277:E296" si="8">IF(C213=MIN($C213:$E213),1,0)</f>
        <v>0</v>
      </c>
      <c r="D277" s="68">
        <f t="shared" si="8"/>
        <v>1</v>
      </c>
      <c r="E277" s="169">
        <f t="shared" si="8"/>
        <v>0</v>
      </c>
      <c r="F277" s="159" t="s">
        <v>669</v>
      </c>
    </row>
    <row r="278" spans="2:6">
      <c r="B278" s="6">
        <f t="shared" si="7"/>
        <v>22</v>
      </c>
      <c r="C278" s="65">
        <f t="shared" si="8"/>
        <v>0</v>
      </c>
      <c r="D278" s="68">
        <f t="shared" si="8"/>
        <v>1</v>
      </c>
      <c r="E278" s="169">
        <f t="shared" si="8"/>
        <v>0</v>
      </c>
      <c r="F278" s="159" t="s">
        <v>669</v>
      </c>
    </row>
    <row r="279" spans="2:6">
      <c r="B279" s="6">
        <f t="shared" si="7"/>
        <v>23</v>
      </c>
      <c r="C279" s="65">
        <f t="shared" si="8"/>
        <v>0</v>
      </c>
      <c r="D279" s="68">
        <f t="shared" si="8"/>
        <v>1</v>
      </c>
      <c r="E279" s="169">
        <f t="shared" si="8"/>
        <v>0</v>
      </c>
      <c r="F279" s="159" t="s">
        <v>669</v>
      </c>
    </row>
    <row r="280" spans="2:6">
      <c r="B280" s="6">
        <f t="shared" si="7"/>
        <v>24</v>
      </c>
      <c r="C280" s="65">
        <f t="shared" si="8"/>
        <v>0</v>
      </c>
      <c r="D280" s="68">
        <f t="shared" si="8"/>
        <v>1</v>
      </c>
      <c r="E280" s="169">
        <f t="shared" si="8"/>
        <v>0</v>
      </c>
      <c r="F280" s="159" t="s">
        <v>669</v>
      </c>
    </row>
    <row r="281" spans="2:6">
      <c r="B281" s="6">
        <f t="shared" si="7"/>
        <v>25</v>
      </c>
      <c r="C281" s="65">
        <f t="shared" si="8"/>
        <v>0</v>
      </c>
      <c r="D281" s="68">
        <f t="shared" si="8"/>
        <v>1</v>
      </c>
      <c r="E281" s="169">
        <f t="shared" si="8"/>
        <v>0</v>
      </c>
      <c r="F281" s="159" t="s">
        <v>669</v>
      </c>
    </row>
    <row r="282" spans="2:6">
      <c r="B282" s="6">
        <f t="shared" si="7"/>
        <v>26</v>
      </c>
      <c r="C282" s="65">
        <f t="shared" si="8"/>
        <v>0</v>
      </c>
      <c r="D282" s="68">
        <f t="shared" si="8"/>
        <v>1</v>
      </c>
      <c r="E282" s="169">
        <f t="shared" si="8"/>
        <v>0</v>
      </c>
      <c r="F282" s="159" t="s">
        <v>669</v>
      </c>
    </row>
    <row r="283" spans="2:6">
      <c r="B283" s="6">
        <f t="shared" si="7"/>
        <v>27</v>
      </c>
      <c r="C283" s="65">
        <f t="shared" si="8"/>
        <v>0</v>
      </c>
      <c r="D283" s="68">
        <f t="shared" si="8"/>
        <v>1</v>
      </c>
      <c r="E283" s="169">
        <f t="shared" si="8"/>
        <v>0</v>
      </c>
      <c r="F283" s="159" t="s">
        <v>669</v>
      </c>
    </row>
    <row r="284" spans="2:6">
      <c r="B284" s="6">
        <f t="shared" si="7"/>
        <v>28</v>
      </c>
      <c r="C284" s="65">
        <f t="shared" si="8"/>
        <v>0</v>
      </c>
      <c r="D284" s="68">
        <f t="shared" si="8"/>
        <v>1</v>
      </c>
      <c r="E284" s="169">
        <f t="shared" si="8"/>
        <v>0</v>
      </c>
      <c r="F284" s="159" t="s">
        <v>669</v>
      </c>
    </row>
    <row r="285" spans="2:6">
      <c r="B285" s="6">
        <f t="shared" si="7"/>
        <v>29</v>
      </c>
      <c r="C285" s="65">
        <f t="shared" si="8"/>
        <v>0</v>
      </c>
      <c r="D285" s="68">
        <f t="shared" si="8"/>
        <v>1</v>
      </c>
      <c r="E285" s="169">
        <f t="shared" si="8"/>
        <v>0</v>
      </c>
      <c r="F285" s="159" t="s">
        <v>669</v>
      </c>
    </row>
    <row r="286" spans="2:6">
      <c r="B286" s="6">
        <f t="shared" si="7"/>
        <v>30</v>
      </c>
      <c r="C286" s="65">
        <f t="shared" si="8"/>
        <v>0</v>
      </c>
      <c r="D286" s="68">
        <f t="shared" si="8"/>
        <v>1</v>
      </c>
      <c r="E286" s="169">
        <f t="shared" si="8"/>
        <v>0</v>
      </c>
      <c r="F286" s="159" t="s">
        <v>669</v>
      </c>
    </row>
    <row r="287" spans="2:6">
      <c r="B287" s="6">
        <f t="shared" si="7"/>
        <v>31</v>
      </c>
      <c r="C287" s="65">
        <f t="shared" si="8"/>
        <v>0</v>
      </c>
      <c r="D287" s="68">
        <f t="shared" si="8"/>
        <v>1</v>
      </c>
      <c r="E287" s="169">
        <f t="shared" si="8"/>
        <v>0</v>
      </c>
      <c r="F287" s="159" t="s">
        <v>669</v>
      </c>
    </row>
    <row r="288" spans="2:6">
      <c r="B288" s="6">
        <f t="shared" si="7"/>
        <v>32</v>
      </c>
      <c r="C288" s="65">
        <f t="shared" si="8"/>
        <v>0</v>
      </c>
      <c r="D288" s="68">
        <f t="shared" si="8"/>
        <v>1</v>
      </c>
      <c r="E288" s="169">
        <f t="shared" si="8"/>
        <v>0</v>
      </c>
      <c r="F288" s="159" t="s">
        <v>669</v>
      </c>
    </row>
    <row r="289" spans="2:6">
      <c r="B289" s="6">
        <f t="shared" si="7"/>
        <v>33</v>
      </c>
      <c r="C289" s="65">
        <f t="shared" si="8"/>
        <v>0</v>
      </c>
      <c r="D289" s="68">
        <f t="shared" si="8"/>
        <v>1</v>
      </c>
      <c r="E289" s="169">
        <f t="shared" si="8"/>
        <v>0</v>
      </c>
      <c r="F289" s="159" t="s">
        <v>669</v>
      </c>
    </row>
    <row r="290" spans="2:6">
      <c r="B290" s="6">
        <f t="shared" si="7"/>
        <v>34</v>
      </c>
      <c r="C290" s="65">
        <f t="shared" si="8"/>
        <v>0</v>
      </c>
      <c r="D290" s="68">
        <f t="shared" si="8"/>
        <v>1</v>
      </c>
      <c r="E290" s="169">
        <f t="shared" si="8"/>
        <v>0</v>
      </c>
      <c r="F290" s="159" t="s">
        <v>669</v>
      </c>
    </row>
    <row r="291" spans="2:6">
      <c r="B291" s="6">
        <f t="shared" si="7"/>
        <v>35</v>
      </c>
      <c r="C291" s="65">
        <f t="shared" si="8"/>
        <v>0</v>
      </c>
      <c r="D291" s="68">
        <f t="shared" si="8"/>
        <v>1</v>
      </c>
      <c r="E291" s="169">
        <f t="shared" si="8"/>
        <v>0</v>
      </c>
      <c r="F291" s="159" t="s">
        <v>669</v>
      </c>
    </row>
    <row r="292" spans="2:6">
      <c r="B292" s="6">
        <f t="shared" si="7"/>
        <v>36</v>
      </c>
      <c r="C292" s="65">
        <f t="shared" si="8"/>
        <v>0</v>
      </c>
      <c r="D292" s="68">
        <f t="shared" si="8"/>
        <v>1</v>
      </c>
      <c r="E292" s="169">
        <f t="shared" si="8"/>
        <v>0</v>
      </c>
      <c r="F292" s="159" t="s">
        <v>669</v>
      </c>
    </row>
    <row r="293" spans="2:6">
      <c r="B293" s="6">
        <f t="shared" si="7"/>
        <v>37</v>
      </c>
      <c r="C293" s="65">
        <f t="shared" si="8"/>
        <v>0</v>
      </c>
      <c r="D293" s="68">
        <f t="shared" si="8"/>
        <v>1</v>
      </c>
      <c r="E293" s="169">
        <f t="shared" si="8"/>
        <v>0</v>
      </c>
      <c r="F293" s="159" t="s">
        <v>669</v>
      </c>
    </row>
    <row r="294" spans="2:6">
      <c r="B294" s="6">
        <f t="shared" si="7"/>
        <v>38</v>
      </c>
      <c r="C294" s="65">
        <f t="shared" si="8"/>
        <v>0</v>
      </c>
      <c r="D294" s="69">
        <f t="shared" si="8"/>
        <v>1</v>
      </c>
      <c r="E294" s="171">
        <f t="shared" si="8"/>
        <v>0</v>
      </c>
      <c r="F294" s="159" t="s">
        <v>669</v>
      </c>
    </row>
    <row r="295" spans="2:6">
      <c r="B295" s="6">
        <f t="shared" si="7"/>
        <v>39</v>
      </c>
      <c r="C295" s="8">
        <f t="shared" si="8"/>
        <v>0</v>
      </c>
      <c r="D295" s="170">
        <f t="shared" si="8"/>
        <v>0</v>
      </c>
      <c r="E295" s="67">
        <f t="shared" si="8"/>
        <v>1</v>
      </c>
      <c r="F295" s="159" t="s">
        <v>670</v>
      </c>
    </row>
    <row r="296" spans="2:6">
      <c r="B296" s="6">
        <f t="shared" si="7"/>
        <v>40</v>
      </c>
      <c r="C296" s="8">
        <f t="shared" si="8"/>
        <v>0</v>
      </c>
      <c r="D296" s="65">
        <f t="shared" si="8"/>
        <v>0</v>
      </c>
      <c r="E296" s="68">
        <f t="shared" si="8"/>
        <v>1</v>
      </c>
      <c r="F296" s="159" t="s">
        <v>670</v>
      </c>
    </row>
    <row r="297" spans="2:6">
      <c r="B297" s="6">
        <f t="shared" si="7"/>
        <v>41</v>
      </c>
      <c r="C297" s="8">
        <f t="shared" ref="C297:E313" si="9">IF(C233=MIN($C233:$E233),1,0)</f>
        <v>0</v>
      </c>
      <c r="D297" s="65">
        <f t="shared" si="9"/>
        <v>0</v>
      </c>
      <c r="E297" s="68">
        <f t="shared" si="9"/>
        <v>1</v>
      </c>
      <c r="F297" s="159" t="s">
        <v>670</v>
      </c>
    </row>
    <row r="298" spans="2:6">
      <c r="B298" s="6">
        <f t="shared" si="7"/>
        <v>42</v>
      </c>
      <c r="C298" s="8">
        <f t="shared" si="9"/>
        <v>1</v>
      </c>
      <c r="D298" s="65">
        <f t="shared" si="9"/>
        <v>0</v>
      </c>
      <c r="E298" s="68">
        <f t="shared" si="9"/>
        <v>0</v>
      </c>
      <c r="F298" s="159" t="s">
        <v>670</v>
      </c>
    </row>
    <row r="299" spans="2:6">
      <c r="B299" s="6">
        <f t="shared" si="7"/>
        <v>43</v>
      </c>
      <c r="C299" s="8">
        <f t="shared" si="9"/>
        <v>0</v>
      </c>
      <c r="D299" s="65">
        <f t="shared" si="9"/>
        <v>0</v>
      </c>
      <c r="E299" s="68">
        <f t="shared" si="9"/>
        <v>1</v>
      </c>
      <c r="F299" s="159" t="s">
        <v>670</v>
      </c>
    </row>
    <row r="300" spans="2:6">
      <c r="B300" s="6">
        <f t="shared" si="7"/>
        <v>44</v>
      </c>
      <c r="C300" s="8">
        <f t="shared" si="9"/>
        <v>0</v>
      </c>
      <c r="D300" s="65">
        <f t="shared" si="9"/>
        <v>0</v>
      </c>
      <c r="E300" s="68">
        <f t="shared" si="9"/>
        <v>1</v>
      </c>
      <c r="F300" s="159" t="s">
        <v>670</v>
      </c>
    </row>
    <row r="301" spans="2:6">
      <c r="B301" s="6">
        <f t="shared" si="7"/>
        <v>45</v>
      </c>
      <c r="C301" s="8">
        <f t="shared" si="9"/>
        <v>0</v>
      </c>
      <c r="D301" s="65">
        <f t="shared" si="9"/>
        <v>0</v>
      </c>
      <c r="E301" s="68">
        <f t="shared" si="9"/>
        <v>1</v>
      </c>
      <c r="F301" s="159" t="s">
        <v>670</v>
      </c>
    </row>
    <row r="302" spans="2:6">
      <c r="B302" s="6">
        <f t="shared" si="7"/>
        <v>46</v>
      </c>
      <c r="C302" s="8">
        <f t="shared" si="9"/>
        <v>0</v>
      </c>
      <c r="D302" s="65">
        <f t="shared" si="9"/>
        <v>0</v>
      </c>
      <c r="E302" s="68">
        <f t="shared" si="9"/>
        <v>1</v>
      </c>
      <c r="F302" s="159" t="s">
        <v>670</v>
      </c>
    </row>
    <row r="303" spans="2:6">
      <c r="B303" s="6">
        <f t="shared" si="7"/>
        <v>47</v>
      </c>
      <c r="C303" s="8">
        <f t="shared" si="9"/>
        <v>0</v>
      </c>
      <c r="D303" s="65">
        <f t="shared" si="9"/>
        <v>0</v>
      </c>
      <c r="E303" s="68">
        <f t="shared" si="9"/>
        <v>1</v>
      </c>
      <c r="F303" s="159" t="s">
        <v>670</v>
      </c>
    </row>
    <row r="304" spans="2:6">
      <c r="B304" s="6">
        <f t="shared" si="7"/>
        <v>48</v>
      </c>
      <c r="C304" s="8">
        <f t="shared" si="9"/>
        <v>0</v>
      </c>
      <c r="D304" s="65">
        <f t="shared" si="9"/>
        <v>0</v>
      </c>
      <c r="E304" s="68">
        <f t="shared" si="9"/>
        <v>1</v>
      </c>
      <c r="F304" s="159" t="s">
        <v>670</v>
      </c>
    </row>
    <row r="305" spans="1:13">
      <c r="B305" s="6">
        <f t="shared" si="7"/>
        <v>49</v>
      </c>
      <c r="C305" s="8">
        <f t="shared" si="9"/>
        <v>0</v>
      </c>
      <c r="D305" s="65">
        <f t="shared" si="9"/>
        <v>0</v>
      </c>
      <c r="E305" s="68">
        <f t="shared" si="9"/>
        <v>1</v>
      </c>
      <c r="F305" s="159" t="s">
        <v>670</v>
      </c>
    </row>
    <row r="306" spans="1:13">
      <c r="B306" s="6">
        <f t="shared" si="7"/>
        <v>50</v>
      </c>
      <c r="C306" s="8">
        <f t="shared" si="9"/>
        <v>0</v>
      </c>
      <c r="D306" s="65">
        <f t="shared" si="9"/>
        <v>0</v>
      </c>
      <c r="E306" s="68">
        <f t="shared" si="9"/>
        <v>1</v>
      </c>
      <c r="F306" s="159" t="s">
        <v>670</v>
      </c>
    </row>
    <row r="307" spans="1:13">
      <c r="B307" s="6">
        <f t="shared" si="7"/>
        <v>51</v>
      </c>
      <c r="C307" s="8">
        <f t="shared" si="9"/>
        <v>0</v>
      </c>
      <c r="D307" s="65">
        <f t="shared" si="9"/>
        <v>0</v>
      </c>
      <c r="E307" s="68">
        <f t="shared" si="9"/>
        <v>1</v>
      </c>
      <c r="F307" s="159" t="s">
        <v>670</v>
      </c>
    </row>
    <row r="308" spans="1:13">
      <c r="B308" s="6">
        <f t="shared" si="7"/>
        <v>52</v>
      </c>
      <c r="C308" s="8">
        <f t="shared" si="9"/>
        <v>0</v>
      </c>
      <c r="D308" s="65">
        <f t="shared" si="9"/>
        <v>0</v>
      </c>
      <c r="E308" s="68">
        <f t="shared" si="9"/>
        <v>1</v>
      </c>
      <c r="F308" s="159" t="s">
        <v>670</v>
      </c>
    </row>
    <row r="309" spans="1:13">
      <c r="B309" s="6">
        <f t="shared" si="7"/>
        <v>53</v>
      </c>
      <c r="C309" s="8">
        <f t="shared" si="9"/>
        <v>0</v>
      </c>
      <c r="D309" s="65">
        <f t="shared" si="9"/>
        <v>0</v>
      </c>
      <c r="E309" s="68">
        <f t="shared" si="9"/>
        <v>1</v>
      </c>
      <c r="F309" s="159" t="s">
        <v>670</v>
      </c>
    </row>
    <row r="310" spans="1:13">
      <c r="B310" s="6">
        <f t="shared" si="7"/>
        <v>54</v>
      </c>
      <c r="C310" s="8">
        <f t="shared" si="9"/>
        <v>0</v>
      </c>
      <c r="D310" s="65">
        <f t="shared" si="9"/>
        <v>0</v>
      </c>
      <c r="E310" s="68">
        <f t="shared" si="9"/>
        <v>1</v>
      </c>
      <c r="F310" s="159" t="s">
        <v>670</v>
      </c>
    </row>
    <row r="311" spans="1:13">
      <c r="B311" s="6">
        <f t="shared" si="7"/>
        <v>55</v>
      </c>
      <c r="C311" s="8">
        <f t="shared" si="9"/>
        <v>0</v>
      </c>
      <c r="D311" s="65">
        <f t="shared" si="9"/>
        <v>0</v>
      </c>
      <c r="E311" s="68">
        <f t="shared" si="9"/>
        <v>1</v>
      </c>
      <c r="F311" s="159" t="s">
        <v>670</v>
      </c>
    </row>
    <row r="312" spans="1:13">
      <c r="B312" s="6">
        <f t="shared" si="7"/>
        <v>56</v>
      </c>
      <c r="C312" s="8">
        <f t="shared" si="9"/>
        <v>1</v>
      </c>
      <c r="D312" s="65">
        <f t="shared" si="9"/>
        <v>0</v>
      </c>
      <c r="E312" s="68">
        <f t="shared" si="9"/>
        <v>0</v>
      </c>
      <c r="F312" s="159" t="s">
        <v>670</v>
      </c>
    </row>
    <row r="313" spans="1:13">
      <c r="B313" s="6">
        <f t="shared" si="7"/>
        <v>57</v>
      </c>
      <c r="C313" s="8">
        <f t="shared" si="9"/>
        <v>1</v>
      </c>
      <c r="D313" s="65">
        <f t="shared" si="9"/>
        <v>0</v>
      </c>
      <c r="E313" s="69">
        <f t="shared" si="9"/>
        <v>0</v>
      </c>
      <c r="F313" s="159" t="s">
        <v>670</v>
      </c>
    </row>
    <row r="314" spans="1:13" ht="15">
      <c r="E314" s="167"/>
      <c r="G314" s="1"/>
    </row>
    <row r="317" spans="1:13">
      <c r="A317" s="24" t="s">
        <v>728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20" spans="1:13">
      <c r="D320" s="244" t="s">
        <v>667</v>
      </c>
      <c r="E320" s="244"/>
      <c r="F320" s="244"/>
    </row>
    <row r="321" spans="2:21">
      <c r="C321" s="6"/>
      <c r="D321" s="6" t="s">
        <v>668</v>
      </c>
      <c r="E321" s="6" t="s">
        <v>669</v>
      </c>
      <c r="F321" s="6" t="s">
        <v>670</v>
      </c>
      <c r="G321" s="6" t="s">
        <v>404</v>
      </c>
    </row>
    <row r="322" spans="2:21">
      <c r="C322" s="6" t="s">
        <v>668</v>
      </c>
      <c r="D322" s="154">
        <f>SUM(C257:C275)</f>
        <v>17</v>
      </c>
      <c r="E322" s="175">
        <f>SUM(D257:D275)</f>
        <v>0</v>
      </c>
      <c r="F322" s="175">
        <f>SUM(E257:E275)</f>
        <v>2</v>
      </c>
      <c r="G322" s="8">
        <f>SUM(D322:F322)</f>
        <v>19</v>
      </c>
    </row>
    <row r="323" spans="2:21">
      <c r="B323" s="6" t="s">
        <v>671</v>
      </c>
      <c r="C323" s="6" t="s">
        <v>669</v>
      </c>
      <c r="D323" s="8">
        <f>SUM(C276:C294)</f>
        <v>0</v>
      </c>
      <c r="E323" s="154">
        <f>SUM(D276:D294)</f>
        <v>19</v>
      </c>
      <c r="F323" s="8">
        <f>SUM(E276:E294)</f>
        <v>0</v>
      </c>
      <c r="G323" s="8">
        <f>SUM(D323:F323)</f>
        <v>19</v>
      </c>
      <c r="L323" s="1"/>
      <c r="O323" s="1"/>
    </row>
    <row r="324" spans="2:21">
      <c r="C324" s="6" t="s">
        <v>670</v>
      </c>
      <c r="D324" s="8">
        <f>SUM(C295:C313)</f>
        <v>3</v>
      </c>
      <c r="E324" s="8">
        <f>SUM(D295:D313)</f>
        <v>0</v>
      </c>
      <c r="F324" s="154">
        <f>SUM(E295:E313)</f>
        <v>16</v>
      </c>
      <c r="G324" s="8">
        <f>SUM(D324:F324)</f>
        <v>19</v>
      </c>
      <c r="M324" s="1"/>
      <c r="N324" s="1"/>
    </row>
    <row r="325" spans="2:21">
      <c r="D325" s="1"/>
      <c r="E325" s="1"/>
      <c r="F325" s="6" t="s">
        <v>672</v>
      </c>
      <c r="G325" s="8">
        <f>SUM(G322:G324)</f>
        <v>57</v>
      </c>
    </row>
    <row r="326" spans="2:21">
      <c r="F326" s="6" t="s">
        <v>673</v>
      </c>
      <c r="G326" s="8">
        <f>D322+E323+F324</f>
        <v>52</v>
      </c>
    </row>
    <row r="328" spans="2:21">
      <c r="D328" s="6"/>
      <c r="E328" s="6" t="s">
        <v>667</v>
      </c>
      <c r="F328" s="6"/>
    </row>
    <row r="329" spans="2:21">
      <c r="C329" s="6"/>
      <c r="D329" s="6" t="s">
        <v>668</v>
      </c>
      <c r="E329" s="6" t="s">
        <v>669</v>
      </c>
      <c r="F329" s="6" t="s">
        <v>670</v>
      </c>
      <c r="G329" s="6" t="s">
        <v>404</v>
      </c>
    </row>
    <row r="330" spans="2:21">
      <c r="C330" s="6" t="s">
        <v>668</v>
      </c>
      <c r="D330" s="174">
        <f t="shared" ref="D330:G332" si="10">D322/$G322</f>
        <v>0.89473684210526316</v>
      </c>
      <c r="E330" s="174">
        <f t="shared" si="10"/>
        <v>0</v>
      </c>
      <c r="F330" s="174">
        <f t="shared" si="10"/>
        <v>0.10526315789473684</v>
      </c>
      <c r="G330" s="173">
        <f t="shared" si="10"/>
        <v>1</v>
      </c>
      <c r="S330" s="149"/>
      <c r="T330" s="149"/>
      <c r="U330" s="149"/>
    </row>
    <row r="331" spans="2:21">
      <c r="B331" s="6" t="s">
        <v>671</v>
      </c>
      <c r="C331" s="6" t="s">
        <v>669</v>
      </c>
      <c r="D331" s="174">
        <f t="shared" si="10"/>
        <v>0</v>
      </c>
      <c r="E331" s="174">
        <f t="shared" si="10"/>
        <v>1</v>
      </c>
      <c r="F331" s="174">
        <f t="shared" si="10"/>
        <v>0</v>
      </c>
      <c r="G331" s="173">
        <f t="shared" si="10"/>
        <v>1</v>
      </c>
    </row>
    <row r="332" spans="2:21">
      <c r="C332" s="6" t="s">
        <v>670</v>
      </c>
      <c r="D332" s="174">
        <f t="shared" si="10"/>
        <v>0.15789473684210525</v>
      </c>
      <c r="E332" s="174">
        <f t="shared" si="10"/>
        <v>0</v>
      </c>
      <c r="F332" s="174">
        <f t="shared" si="10"/>
        <v>0.84210526315789469</v>
      </c>
      <c r="G332" s="173">
        <f t="shared" si="10"/>
        <v>1</v>
      </c>
    </row>
    <row r="335" spans="2:21">
      <c r="B335" s="6" t="s">
        <v>369</v>
      </c>
      <c r="C335" s="8" t="s">
        <v>729</v>
      </c>
      <c r="D335" s="8"/>
      <c r="E335" s="8"/>
      <c r="F335" s="8"/>
      <c r="G335" s="8"/>
    </row>
    <row r="336" spans="2:21">
      <c r="C336" s="8" t="s">
        <v>741</v>
      </c>
      <c r="D336" s="8"/>
      <c r="E336" s="8"/>
      <c r="F336" s="8"/>
      <c r="G336" s="8"/>
    </row>
    <row r="337" spans="1:21">
      <c r="C337" s="8"/>
      <c r="D337" s="8"/>
      <c r="E337" s="8"/>
      <c r="F337" s="8"/>
      <c r="G337" s="8"/>
    </row>
    <row r="338" spans="1:21">
      <c r="S338" s="149"/>
      <c r="T338" s="149"/>
      <c r="U338" s="149"/>
    </row>
    <row r="341" spans="1:21">
      <c r="A341" s="24" t="s">
        <v>730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4" spans="1:21">
      <c r="B344" s="6" t="s">
        <v>369</v>
      </c>
      <c r="C344" s="164" t="s">
        <v>752</v>
      </c>
      <c r="D344" s="164"/>
      <c r="E344" s="164"/>
      <c r="F344" s="164"/>
      <c r="G344" s="164"/>
      <c r="H344" s="165"/>
    </row>
    <row r="345" spans="1:21">
      <c r="B345" s="9"/>
      <c r="C345" s="164" t="s">
        <v>674</v>
      </c>
      <c r="D345" s="164"/>
      <c r="E345" s="164"/>
      <c r="F345" s="164"/>
      <c r="G345" s="164"/>
      <c r="H345" s="165"/>
    </row>
    <row r="346" spans="1:21">
      <c r="B346" s="9"/>
      <c r="C346" s="164" t="s">
        <v>675</v>
      </c>
      <c r="D346" s="164"/>
      <c r="E346" s="164" t="s">
        <v>747</v>
      </c>
      <c r="F346" s="164"/>
      <c r="G346" s="164"/>
      <c r="H346" s="165"/>
    </row>
    <row r="347" spans="1:21" ht="15.75">
      <c r="C347" s="164" t="s">
        <v>748</v>
      </c>
      <c r="D347" s="164"/>
      <c r="E347" s="164"/>
      <c r="F347" s="164"/>
      <c r="G347" s="164"/>
      <c r="H347" s="165"/>
    </row>
    <row r="348" spans="1:21" ht="15.75">
      <c r="C348" s="164"/>
      <c r="D348" s="164" t="s">
        <v>749</v>
      </c>
      <c r="E348" s="164"/>
      <c r="F348" s="164"/>
      <c r="G348" s="164"/>
      <c r="H348" s="165"/>
      <c r="S348" s="149"/>
      <c r="T348" s="149"/>
      <c r="U348" s="149"/>
    </row>
    <row r="349" spans="1:21" ht="15.75">
      <c r="C349" s="164"/>
      <c r="D349" s="164" t="s">
        <v>750</v>
      </c>
      <c r="E349" s="164"/>
      <c r="F349" s="164"/>
      <c r="G349" s="164"/>
      <c r="H349" s="165"/>
    </row>
    <row r="350" spans="1:21" ht="15.75">
      <c r="C350" s="164"/>
      <c r="D350" s="109" t="s">
        <v>751</v>
      </c>
      <c r="E350" s="164" t="s">
        <v>676</v>
      </c>
      <c r="F350" s="164"/>
      <c r="G350" s="164"/>
      <c r="H350" s="165"/>
    </row>
    <row r="351" spans="1:21" ht="15.75">
      <c r="C351" s="164" t="s">
        <v>753</v>
      </c>
      <c r="D351" s="164"/>
      <c r="E351" s="164"/>
      <c r="F351" s="164"/>
      <c r="G351" s="164"/>
      <c r="H351" s="165"/>
    </row>
    <row r="352" spans="1:21">
      <c r="C352" s="164" t="s">
        <v>754</v>
      </c>
      <c r="D352" s="164"/>
      <c r="E352" s="164"/>
      <c r="F352" s="164"/>
      <c r="G352" s="164"/>
      <c r="H352" s="165"/>
    </row>
    <row r="353" spans="2:21">
      <c r="C353" s="164"/>
      <c r="D353" s="164"/>
      <c r="E353" s="164"/>
      <c r="F353" s="164"/>
      <c r="G353" s="164"/>
      <c r="H353" s="165"/>
      <c r="M353" s="12"/>
    </row>
    <row r="355" spans="2:21">
      <c r="B355" s="107" t="s">
        <v>677</v>
      </c>
    </row>
    <row r="356" spans="2:21">
      <c r="B356" s="176">
        <v>3</v>
      </c>
    </row>
    <row r="358" spans="2:21">
      <c r="B358" s="6" t="s">
        <v>678</v>
      </c>
      <c r="C358" s="6"/>
      <c r="D358" s="159" t="s">
        <v>679</v>
      </c>
      <c r="E358" s="159"/>
      <c r="S358" s="149"/>
      <c r="T358" s="149"/>
      <c r="U358" s="149"/>
    </row>
    <row r="359" spans="2:21">
      <c r="D359" s="244" t="s">
        <v>667</v>
      </c>
      <c r="E359" s="244"/>
      <c r="F359" s="244"/>
    </row>
    <row r="360" spans="2:21">
      <c r="D360" s="6" t="s">
        <v>668</v>
      </c>
      <c r="E360" s="6" t="s">
        <v>669</v>
      </c>
      <c r="F360" s="6" t="s">
        <v>670</v>
      </c>
      <c r="G360" s="6" t="s">
        <v>404</v>
      </c>
    </row>
    <row r="361" spans="2:21">
      <c r="C361" s="6" t="s">
        <v>668</v>
      </c>
      <c r="D361" s="8">
        <f t="shared" ref="D361:F363" si="11">$G322^2/COUNTA($B$257:$B$313)</f>
        <v>6.333333333333333</v>
      </c>
      <c r="E361" s="8">
        <f t="shared" si="11"/>
        <v>6.333333333333333</v>
      </c>
      <c r="F361" s="8">
        <f t="shared" si="11"/>
        <v>6.333333333333333</v>
      </c>
      <c r="G361" s="8">
        <f>G322</f>
        <v>19</v>
      </c>
      <c r="H361" s="159" t="s">
        <v>680</v>
      </c>
      <c r="I361" s="159"/>
      <c r="J361" s="159"/>
      <c r="K361" s="159"/>
      <c r="L361" s="159"/>
    </row>
    <row r="362" spans="2:21">
      <c r="B362" s="6" t="s">
        <v>671</v>
      </c>
      <c r="C362" s="6" t="s">
        <v>669</v>
      </c>
      <c r="D362" s="8">
        <f t="shared" si="11"/>
        <v>6.333333333333333</v>
      </c>
      <c r="E362" s="8">
        <f t="shared" si="11"/>
        <v>6.333333333333333</v>
      </c>
      <c r="F362" s="8">
        <f t="shared" si="11"/>
        <v>6.333333333333333</v>
      </c>
      <c r="G362" s="8">
        <f>G323</f>
        <v>19</v>
      </c>
      <c r="H362" s="1"/>
    </row>
    <row r="363" spans="2:21">
      <c r="C363" s="6" t="s">
        <v>670</v>
      </c>
      <c r="D363" s="8">
        <f t="shared" si="11"/>
        <v>6.333333333333333</v>
      </c>
      <c r="E363" s="8">
        <f t="shared" si="11"/>
        <v>6.333333333333333</v>
      </c>
      <c r="F363" s="8">
        <f t="shared" si="11"/>
        <v>6.333333333333333</v>
      </c>
      <c r="G363" s="8">
        <f>G324</f>
        <v>19</v>
      </c>
      <c r="H363" s="1"/>
    </row>
    <row r="364" spans="2:21">
      <c r="C364" s="1"/>
      <c r="D364" s="1"/>
      <c r="E364" s="1"/>
      <c r="F364" s="6" t="s">
        <v>681</v>
      </c>
      <c r="G364" s="8">
        <f>D361+E362+F363</f>
        <v>19</v>
      </c>
      <c r="H364" s="159" t="s">
        <v>682</v>
      </c>
      <c r="I364" s="159"/>
      <c r="J364" s="159"/>
      <c r="K364" s="159"/>
      <c r="L364" s="159"/>
    </row>
    <row r="365" spans="2:21">
      <c r="B365" s="6" t="s">
        <v>683</v>
      </c>
      <c r="C365" s="6" t="s">
        <v>648</v>
      </c>
      <c r="D365" s="168">
        <f>1/3</f>
        <v>0.33333333333333331</v>
      </c>
      <c r="E365" s="1"/>
      <c r="F365" s="1"/>
      <c r="G365" s="1"/>
    </row>
    <row r="366" spans="2:21">
      <c r="B366" s="1"/>
      <c r="C366" s="6" t="s">
        <v>684</v>
      </c>
      <c r="D366" s="168">
        <f>COUNTA(B257:B313)*D365</f>
        <v>19</v>
      </c>
      <c r="S366" s="149"/>
      <c r="T366" s="149"/>
      <c r="U366" s="149"/>
    </row>
    <row r="367" spans="2:21">
      <c r="B367" s="1"/>
      <c r="C367" s="6" t="s">
        <v>685</v>
      </c>
      <c r="D367" s="168">
        <f>D366*(1-D365)</f>
        <v>12.666666666666668</v>
      </c>
    </row>
    <row r="368" spans="2:21">
      <c r="B368" s="1"/>
      <c r="C368" s="6" t="s">
        <v>687</v>
      </c>
      <c r="D368" s="168">
        <f>SQRT(D367)</f>
        <v>3.5590260840104371</v>
      </c>
    </row>
    <row r="369" spans="2:21">
      <c r="B369" s="1"/>
      <c r="C369" s="6" t="s">
        <v>690</v>
      </c>
      <c r="D369" s="168">
        <f>G326</f>
        <v>52</v>
      </c>
    </row>
    <row r="370" spans="2:21">
      <c r="B370" s="1"/>
      <c r="C370" s="6" t="s">
        <v>693</v>
      </c>
      <c r="D370" s="168">
        <f>(D369-D366)/D368</f>
        <v>9.2721995346587711</v>
      </c>
    </row>
    <row r="371" spans="2:21">
      <c r="B371" s="1"/>
      <c r="C371" s="6" t="s">
        <v>696</v>
      </c>
      <c r="D371" s="168">
        <f>(1-_xlfn.NORM.DIST(D370,0,1,1))*2</f>
        <v>0</v>
      </c>
    </row>
    <row r="372" spans="2:21">
      <c r="B372" s="1"/>
      <c r="C372" s="6" t="s">
        <v>698</v>
      </c>
      <c r="D372" s="168">
        <f>(1-_xlfn.BINOM.DIST(52,57,D365,1))*2</f>
        <v>0</v>
      </c>
    </row>
    <row r="374" spans="2:21">
      <c r="S374" s="149"/>
      <c r="T374" s="149"/>
      <c r="U374" s="149"/>
    </row>
    <row r="375" spans="2:21">
      <c r="B375" s="6" t="s">
        <v>369</v>
      </c>
      <c r="C375" s="164" t="s">
        <v>755</v>
      </c>
      <c r="D375" s="164"/>
      <c r="E375" s="164"/>
      <c r="F375" s="164"/>
      <c r="G375" s="164"/>
      <c r="H375" s="164"/>
      <c r="I375" s="164"/>
    </row>
    <row r="376" spans="2:21">
      <c r="C376" s="164" t="s">
        <v>686</v>
      </c>
      <c r="D376" s="164"/>
      <c r="E376" s="164"/>
      <c r="F376" s="164"/>
      <c r="G376" s="164"/>
      <c r="H376" s="164"/>
      <c r="I376" s="164"/>
    </row>
    <row r="377" spans="2:21">
      <c r="C377" s="164" t="s">
        <v>688</v>
      </c>
      <c r="D377" s="164"/>
      <c r="E377" s="164"/>
      <c r="F377" s="164"/>
      <c r="G377" s="164"/>
      <c r="H377" s="164"/>
      <c r="I377" s="164"/>
    </row>
    <row r="378" spans="2:21">
      <c r="C378" s="164" t="s">
        <v>691</v>
      </c>
      <c r="D378" s="164"/>
      <c r="E378" s="164"/>
      <c r="F378" s="164"/>
      <c r="G378" s="164"/>
      <c r="H378" s="164"/>
      <c r="I378" s="164"/>
    </row>
    <row r="379" spans="2:21">
      <c r="C379" s="164" t="s">
        <v>694</v>
      </c>
      <c r="D379" s="164"/>
      <c r="E379" s="164"/>
      <c r="F379" s="164"/>
      <c r="G379" s="164"/>
      <c r="H379" s="164"/>
      <c r="I379" s="164"/>
    </row>
    <row r="380" spans="2:21">
      <c r="C380" s="164" t="s">
        <v>697</v>
      </c>
      <c r="D380" s="164"/>
      <c r="E380" s="164"/>
      <c r="F380" s="164"/>
      <c r="G380" s="164"/>
      <c r="H380" s="164"/>
      <c r="I380" s="164"/>
    </row>
    <row r="381" spans="2:21">
      <c r="C381" s="164" t="s">
        <v>699</v>
      </c>
      <c r="D381" s="164">
        <f>1/3*57</f>
        <v>19</v>
      </c>
      <c r="E381" s="164"/>
      <c r="F381" s="164"/>
      <c r="G381" s="164"/>
      <c r="H381" s="164"/>
      <c r="I381" s="164"/>
    </row>
    <row r="382" spans="2:21" ht="16.5" customHeight="1">
      <c r="C382" s="164" t="s">
        <v>756</v>
      </c>
      <c r="D382" s="164"/>
      <c r="E382" s="164"/>
      <c r="F382" s="164"/>
      <c r="G382" s="164"/>
      <c r="H382" s="164"/>
      <c r="I382" s="164"/>
      <c r="S382" s="149"/>
      <c r="T382" s="149"/>
      <c r="U382" s="149"/>
    </row>
    <row r="383" spans="2:21">
      <c r="C383" s="164" t="s">
        <v>702</v>
      </c>
      <c r="D383" s="164"/>
      <c r="E383" s="164"/>
      <c r="F383" s="164"/>
      <c r="G383" s="164"/>
      <c r="H383" s="164"/>
      <c r="I383" s="164"/>
    </row>
    <row r="384" spans="2:21">
      <c r="C384" s="164" t="s">
        <v>703</v>
      </c>
      <c r="D384" s="164"/>
      <c r="E384" s="164"/>
      <c r="F384" s="164"/>
      <c r="G384" s="164"/>
      <c r="H384" s="164"/>
      <c r="I384" s="164"/>
    </row>
    <row r="385" spans="1:18">
      <c r="C385" s="164" t="s">
        <v>704</v>
      </c>
      <c r="D385" s="164"/>
      <c r="E385" s="164"/>
      <c r="F385" s="164"/>
      <c r="G385" s="164"/>
      <c r="H385" s="164"/>
      <c r="I385" s="164"/>
    </row>
    <row r="386" spans="1:18">
      <c r="C386" s="164" t="s">
        <v>705</v>
      </c>
      <c r="D386" s="164"/>
      <c r="E386" s="164"/>
      <c r="F386" s="164"/>
      <c r="G386" s="164"/>
      <c r="H386" s="164"/>
      <c r="I386" s="164"/>
    </row>
    <row r="388" spans="1:18">
      <c r="R388" s="149"/>
    </row>
    <row r="389" spans="1:18">
      <c r="R389" s="149"/>
    </row>
    <row r="390" spans="1:18">
      <c r="A390" s="24" t="s">
        <v>733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R390" s="149"/>
    </row>
    <row r="391" spans="1:18">
      <c r="R391" s="149"/>
    </row>
    <row r="392" spans="1:18">
      <c r="R392" s="149"/>
    </row>
    <row r="393" spans="1:18"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R393" s="149"/>
    </row>
    <row r="394" spans="1:18"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M394" t="s">
        <v>742</v>
      </c>
      <c r="R394" s="149"/>
    </row>
    <row r="395" spans="1:18"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M395" t="s">
        <v>743</v>
      </c>
      <c r="R395" s="149"/>
    </row>
    <row r="396" spans="1:18"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M396" t="s">
        <v>744</v>
      </c>
      <c r="R396" s="149"/>
    </row>
    <row r="397" spans="1:18"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M397" t="s">
        <v>745</v>
      </c>
      <c r="R397" s="149"/>
    </row>
    <row r="398" spans="1:18"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M398" t="s">
        <v>746</v>
      </c>
      <c r="R398" s="149"/>
    </row>
    <row r="399" spans="1:18"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R399" s="149"/>
    </row>
    <row r="400" spans="1:18"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R400" s="149"/>
    </row>
    <row r="401" spans="2:18"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R401" s="149"/>
    </row>
    <row r="402" spans="2:18"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R402" s="149"/>
    </row>
    <row r="403" spans="2:18"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R403" s="149"/>
    </row>
    <row r="404" spans="2:18"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R404" s="149"/>
    </row>
    <row r="405" spans="2:18"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R405" s="149"/>
    </row>
    <row r="406" spans="2:18"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R406" s="149"/>
    </row>
    <row r="407" spans="2:18">
      <c r="B407" s="159"/>
      <c r="C407" s="159"/>
      <c r="D407" s="159"/>
      <c r="E407" s="159" t="s">
        <v>45</v>
      </c>
      <c r="F407" s="159"/>
      <c r="G407" s="159"/>
      <c r="H407" s="159"/>
      <c r="I407" s="159"/>
      <c r="J407" s="159"/>
      <c r="K407" s="159"/>
      <c r="R407" s="149"/>
    </row>
    <row r="408" spans="2:18"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R408" s="149"/>
    </row>
    <row r="409" spans="2:18"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R409" s="149"/>
    </row>
    <row r="410" spans="2:18"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R410" s="149"/>
    </row>
    <row r="411" spans="2:18"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R411" s="149"/>
    </row>
    <row r="412" spans="2:18"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R412" s="149"/>
    </row>
    <row r="413" spans="2:18"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R413" s="149"/>
    </row>
    <row r="414" spans="2:18"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R414" s="149"/>
    </row>
    <row r="415" spans="2:18"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R415" s="149"/>
    </row>
    <row r="416" spans="2:18"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R416" s="149"/>
    </row>
    <row r="417" spans="1:18"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R417" s="149"/>
    </row>
    <row r="418" spans="1:18"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R418" s="149"/>
    </row>
    <row r="419" spans="1:18"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R419" s="149"/>
    </row>
    <row r="420" spans="1:18"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R420" s="149"/>
    </row>
    <row r="421" spans="1:18"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R421" s="149"/>
    </row>
    <row r="422" spans="1:18"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</row>
    <row r="427" spans="1:18">
      <c r="A427" s="24" t="s">
        <v>732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</row>
    <row r="428" spans="1:18">
      <c r="I428" s="1"/>
    </row>
    <row r="430" spans="1:18">
      <c r="A430" s="6" t="s">
        <v>712</v>
      </c>
      <c r="B430" s="6" t="s">
        <v>731</v>
      </c>
    </row>
    <row r="431" spans="1:18">
      <c r="A431" s="164">
        <v>4</v>
      </c>
      <c r="B431" s="164">
        <f>SQRT($C$19)</f>
        <v>2.4477468306808161</v>
      </c>
    </row>
    <row r="433" spans="1:16">
      <c r="A433" s="6" t="s">
        <v>668</v>
      </c>
      <c r="H433" s="6" t="s">
        <v>669</v>
      </c>
      <c r="M433" s="6" t="s">
        <v>670</v>
      </c>
    </row>
    <row r="434" spans="1:16">
      <c r="A434" s="6" t="s">
        <v>713</v>
      </c>
      <c r="B434" s="6" t="s">
        <v>714</v>
      </c>
      <c r="C434" s="6" t="s">
        <v>530</v>
      </c>
      <c r="D434" s="6" t="s">
        <v>715</v>
      </c>
      <c r="E434" s="6" t="s">
        <v>256</v>
      </c>
      <c r="F434" s="6" t="s">
        <v>708</v>
      </c>
      <c r="H434" s="6" t="s">
        <v>530</v>
      </c>
      <c r="I434" s="6" t="s">
        <v>715</v>
      </c>
      <c r="J434" s="6" t="s">
        <v>256</v>
      </c>
      <c r="K434" s="6" t="s">
        <v>708</v>
      </c>
      <c r="M434" s="6" t="s">
        <v>530</v>
      </c>
      <c r="N434" s="6" t="s">
        <v>715</v>
      </c>
      <c r="O434" s="6" t="s">
        <v>256</v>
      </c>
      <c r="P434" s="6" t="s">
        <v>708</v>
      </c>
    </row>
    <row r="435" spans="1:16">
      <c r="A435" s="164">
        <v>-180</v>
      </c>
      <c r="B435" s="164">
        <f t="shared" ref="B435:B498" si="12">TAN(A435*PI()/180)</f>
        <v>1.22514845490862E-16</v>
      </c>
      <c r="C435" s="164">
        <f t="shared" ref="C435:C466" si="13">$B$431/(SQRT(1/(1-$C$177^2)*(1/$E$177+B435^2/$F$178-2*$C$177*B435/SQRT($E$177*$F$178))))</f>
        <v>0.71227410840803596</v>
      </c>
      <c r="D435" s="164">
        <f t="shared" ref="D435:D498" si="14">C435*SQRT(B435^2+1)</f>
        <v>0.71227410840803596</v>
      </c>
      <c r="E435" s="164">
        <f t="shared" ref="E435:E466" si="15">D435*COS(A435*PI()/180)+$C$166</f>
        <v>-0.57375622967502304</v>
      </c>
      <c r="F435" s="164">
        <f t="shared" ref="F435:F466" si="16">D435*SIN(A435*PI()/180)+$D$166</f>
        <v>-0.61482402784515977</v>
      </c>
      <c r="H435" s="164">
        <f t="shared" ref="H435:H466" si="17">$B$431/(SQRT(1/(1-$C$180^2)*(1/$E$180+B435^2/$F$181-2*$C$180*B435/SQRT($E$180*$F$181))))</f>
        <v>0.98430705766287108</v>
      </c>
      <c r="I435" s="164">
        <f t="shared" ref="I435:I498" si="18">H435*SQRT(B435^2+1)</f>
        <v>0.98430705766287108</v>
      </c>
      <c r="J435" s="164">
        <f t="shared" ref="J435:J466" si="19">I435*COS(A435*PI()/180)+$C$167</f>
        <v>-0.2395147344829005</v>
      </c>
      <c r="K435" s="164">
        <f t="shared" ref="K435:K466" si="20">I435*SIN(A435*PI()/180)+$D$167</f>
        <v>0.9534591418726186</v>
      </c>
      <c r="M435" s="164">
        <f t="shared" ref="M435:M466" si="21">$B$431/(SQRT(1/(1-$C$183^2)*(1/$E$183+B435^2/$F$184-2*$C$183*B435/SQRT($E$183*$F$184))))</f>
        <v>1.5402504380225392</v>
      </c>
      <c r="N435" s="164">
        <f t="shared" ref="N435:N498" si="22">M435*SQRT(B435^2+1)</f>
        <v>1.5402504380225392</v>
      </c>
      <c r="O435" s="164">
        <f t="shared" ref="O435:O466" si="23">N435*COS(A435*PI()/180)+$C$168</f>
        <v>-2.4235606399355212</v>
      </c>
      <c r="P435" s="164">
        <f t="shared" ref="P435:P466" si="24">N435*SIN(A435*PI()/180)+$D$168</f>
        <v>-0.33863511402745983</v>
      </c>
    </row>
    <row r="436" spans="1:16">
      <c r="A436" s="164">
        <f t="shared" ref="A436:A499" si="25">A435+$A$431</f>
        <v>-176</v>
      </c>
      <c r="B436" s="164">
        <f t="shared" si="12"/>
        <v>6.9926811943510636E-2</v>
      </c>
      <c r="C436" s="164">
        <f t="shared" si="13"/>
        <v>0.68389574885052207</v>
      </c>
      <c r="D436" s="164">
        <f t="shared" si="14"/>
        <v>0.68556575256736185</v>
      </c>
      <c r="E436" s="164">
        <f t="shared" si="15"/>
        <v>-0.54537787011750904</v>
      </c>
      <c r="F436" s="164">
        <f t="shared" si="16"/>
        <v>-0.66264667726399651</v>
      </c>
      <c r="H436" s="164">
        <f t="shared" si="17"/>
        <v>0.92846624145156598</v>
      </c>
      <c r="I436" s="164">
        <f t="shared" si="18"/>
        <v>0.93073346138499957</v>
      </c>
      <c r="J436" s="164">
        <f t="shared" si="19"/>
        <v>-0.18367391827159529</v>
      </c>
      <c r="K436" s="164">
        <f t="shared" si="20"/>
        <v>0.88853445761073691</v>
      </c>
      <c r="M436" s="164">
        <f t="shared" si="21"/>
        <v>1.4384802724405759</v>
      </c>
      <c r="N436" s="164">
        <f t="shared" si="22"/>
        <v>1.4419928946576523</v>
      </c>
      <c r="O436" s="164">
        <f t="shared" si="23"/>
        <v>-2.3217904743535578</v>
      </c>
      <c r="P436" s="164">
        <f t="shared" si="24"/>
        <v>-0.43922345352286174</v>
      </c>
    </row>
    <row r="437" spans="1:16">
      <c r="A437" s="164">
        <f t="shared" si="25"/>
        <v>-172</v>
      </c>
      <c r="B437" s="164">
        <f t="shared" si="12"/>
        <v>0.14054083470239176</v>
      </c>
      <c r="C437" s="164">
        <f t="shared" si="13"/>
        <v>0.65701459968740583</v>
      </c>
      <c r="D437" s="164">
        <f t="shared" si="14"/>
        <v>0.66347145831162468</v>
      </c>
      <c r="E437" s="164">
        <f t="shared" si="15"/>
        <v>-0.51849672095439292</v>
      </c>
      <c r="F437" s="164">
        <f t="shared" si="16"/>
        <v>-0.70716140809688544</v>
      </c>
      <c r="H437" s="164">
        <f t="shared" si="17"/>
        <v>0.87753730714098954</v>
      </c>
      <c r="I437" s="164">
        <f t="shared" si="18"/>
        <v>0.88616136866471051</v>
      </c>
      <c r="J437" s="164">
        <f t="shared" si="19"/>
        <v>-0.13274498396101897</v>
      </c>
      <c r="K437" s="164">
        <f t="shared" si="20"/>
        <v>0.8301293162445349</v>
      </c>
      <c r="M437" s="164">
        <f t="shared" si="21"/>
        <v>1.3399907542580953</v>
      </c>
      <c r="N437" s="164">
        <f t="shared" si="22"/>
        <v>1.3531596105698445</v>
      </c>
      <c r="O437" s="164">
        <f t="shared" si="23"/>
        <v>-2.223300956171077</v>
      </c>
      <c r="P437" s="164">
        <f t="shared" si="24"/>
        <v>-0.5269585331243799</v>
      </c>
    </row>
    <row r="438" spans="1:16">
      <c r="A438" s="164">
        <f t="shared" si="25"/>
        <v>-168</v>
      </c>
      <c r="B438" s="164">
        <f t="shared" si="12"/>
        <v>0.2125565616700221</v>
      </c>
      <c r="C438" s="164">
        <f t="shared" si="13"/>
        <v>0.63132839584146605</v>
      </c>
      <c r="D438" s="164">
        <f t="shared" si="14"/>
        <v>0.64543264775974907</v>
      </c>
      <c r="E438" s="164">
        <f t="shared" si="15"/>
        <v>-0.49281051710845314</v>
      </c>
      <c r="F438" s="164">
        <f t="shared" si="16"/>
        <v>-0.74901702094987233</v>
      </c>
      <c r="H438" s="164">
        <f t="shared" si="17"/>
        <v>0.8305618750239836</v>
      </c>
      <c r="I438" s="164">
        <f t="shared" si="18"/>
        <v>0.84911712138423345</v>
      </c>
      <c r="J438" s="164">
        <f t="shared" si="19"/>
        <v>-8.5769551844013026E-2</v>
      </c>
      <c r="K438" s="164">
        <f t="shared" si="20"/>
        <v>0.77691776546331415</v>
      </c>
      <c r="M438" s="164">
        <f t="shared" si="21"/>
        <v>1.2463775816041882</v>
      </c>
      <c r="N438" s="164">
        <f t="shared" si="22"/>
        <v>1.2742223982036622</v>
      </c>
      <c r="O438" s="164">
        <f t="shared" si="23"/>
        <v>-2.1296877835171704</v>
      </c>
      <c r="P438" s="164">
        <f t="shared" si="24"/>
        <v>-0.60356084731584325</v>
      </c>
    </row>
    <row r="439" spans="1:16">
      <c r="A439" s="164">
        <f t="shared" si="25"/>
        <v>-164</v>
      </c>
      <c r="B439" s="164">
        <f t="shared" si="12"/>
        <v>0.28674538575880848</v>
      </c>
      <c r="C439" s="164">
        <f t="shared" si="13"/>
        <v>0.60657128350665379</v>
      </c>
      <c r="D439" s="164">
        <f t="shared" si="14"/>
        <v>0.63101576404181992</v>
      </c>
      <c r="E439" s="164">
        <f t="shared" si="15"/>
        <v>-0.46805340477364088</v>
      </c>
      <c r="F439" s="164">
        <f t="shared" si="16"/>
        <v>-0.7887555445244907</v>
      </c>
      <c r="H439" s="164">
        <f t="shared" si="17"/>
        <v>0.78676366378982521</v>
      </c>
      <c r="I439" s="164">
        <f t="shared" si="18"/>
        <v>0.81846979559696242</v>
      </c>
      <c r="J439" s="164">
        <f t="shared" si="19"/>
        <v>-4.1971340609854524E-2</v>
      </c>
      <c r="K439" s="164">
        <f t="shared" si="20"/>
        <v>0.72785829159819182</v>
      </c>
      <c r="M439" s="164">
        <f t="shared" si="21"/>
        <v>1.1581903220723182</v>
      </c>
      <c r="N439" s="164">
        <f t="shared" si="22"/>
        <v>1.2048647386722</v>
      </c>
      <c r="O439" s="164">
        <f t="shared" si="23"/>
        <v>-2.0415005239853001</v>
      </c>
      <c r="P439" s="164">
        <f t="shared" si="24"/>
        <v>-0.67074084471220519</v>
      </c>
    </row>
    <row r="440" spans="1:16">
      <c r="A440" s="164">
        <f t="shared" si="25"/>
        <v>-160</v>
      </c>
      <c r="B440" s="164">
        <f t="shared" si="12"/>
        <v>0.36397023426620256</v>
      </c>
      <c r="C440" s="164">
        <f t="shared" si="13"/>
        <v>0.58250522554562301</v>
      </c>
      <c r="D440" s="164">
        <f t="shared" si="14"/>
        <v>0.61988911337671992</v>
      </c>
      <c r="E440" s="164">
        <f t="shared" si="15"/>
        <v>-0.4439873468126101</v>
      </c>
      <c r="F440" s="164">
        <f t="shared" si="16"/>
        <v>-0.82683859124828718</v>
      </c>
      <c r="H440" s="164">
        <f t="shared" si="17"/>
        <v>0.74550410144140455</v>
      </c>
      <c r="I440" s="164">
        <f t="shared" si="18"/>
        <v>0.79334889404357045</v>
      </c>
      <c r="J440" s="164">
        <f t="shared" si="19"/>
        <v>-7.1177826143398182E-4</v>
      </c>
      <c r="K440" s="164">
        <f t="shared" si="20"/>
        <v>0.68211783942457582</v>
      </c>
      <c r="M440" s="164">
        <f t="shared" si="21"/>
        <v>1.0753824848847067</v>
      </c>
      <c r="N440" s="164">
        <f t="shared" si="22"/>
        <v>1.1443981373242185</v>
      </c>
      <c r="O440" s="164">
        <f t="shared" si="23"/>
        <v>-1.9586926867976886</v>
      </c>
      <c r="P440" s="164">
        <f t="shared" si="24"/>
        <v>-0.73004232897671728</v>
      </c>
    </row>
    <row r="441" spans="1:16">
      <c r="A441" s="164">
        <f t="shared" si="25"/>
        <v>-156</v>
      </c>
      <c r="B441" s="164">
        <f t="shared" si="12"/>
        <v>0.44522868530853649</v>
      </c>
      <c r="C441" s="164">
        <f t="shared" si="13"/>
        <v>0.5589124146771971</v>
      </c>
      <c r="D441" s="164">
        <f t="shared" si="14"/>
        <v>0.61180580561307552</v>
      </c>
      <c r="E441" s="164">
        <f t="shared" si="15"/>
        <v>-0.42039453594418419</v>
      </c>
      <c r="F441" s="164">
        <f t="shared" si="16"/>
        <v>-0.86366786743450774</v>
      </c>
      <c r="H441" s="164">
        <f t="shared" si="17"/>
        <v>0.70624833715759949</v>
      </c>
      <c r="I441" s="164">
        <f t="shared" si="18"/>
        <v>0.77308505148727857</v>
      </c>
      <c r="J441" s="164">
        <f t="shared" si="19"/>
        <v>3.854398602237108E-2</v>
      </c>
      <c r="K441" s="164">
        <f t="shared" si="20"/>
        <v>0.63901712321860071</v>
      </c>
      <c r="M441" s="164">
        <f t="shared" si="21"/>
        <v>0.99759495811523136</v>
      </c>
      <c r="N441" s="164">
        <f t="shared" si="22"/>
        <v>1.0920036324076525</v>
      </c>
      <c r="O441" s="164">
        <f t="shared" si="23"/>
        <v>-1.8809051600282132</v>
      </c>
      <c r="P441" s="164">
        <f t="shared" si="24"/>
        <v>-0.78279300569952859</v>
      </c>
    </row>
    <row r="442" spans="1:16">
      <c r="A442" s="164">
        <f t="shared" si="25"/>
        <v>-152</v>
      </c>
      <c r="B442" s="164">
        <f t="shared" si="12"/>
        <v>0.53170943166147921</v>
      </c>
      <c r="C442" s="164">
        <f t="shared" si="13"/>
        <v>0.5355884966999841</v>
      </c>
      <c r="D442" s="164">
        <f t="shared" si="14"/>
        <v>0.60659149085596731</v>
      </c>
      <c r="E442" s="164">
        <f t="shared" si="15"/>
        <v>-0.39707061796697107</v>
      </c>
      <c r="F442" s="164">
        <f t="shared" si="16"/>
        <v>-0.89960148302993415</v>
      </c>
      <c r="H442" s="164">
        <f t="shared" si="17"/>
        <v>0.66853905056891261</v>
      </c>
      <c r="I442" s="164">
        <f t="shared" si="18"/>
        <v>0.7571673063904355</v>
      </c>
      <c r="J442" s="164">
        <f t="shared" si="19"/>
        <v>7.6253272611058076E-2</v>
      </c>
      <c r="K442" s="164">
        <f t="shared" si="20"/>
        <v>0.5979906232511174</v>
      </c>
      <c r="M442" s="164">
        <f t="shared" si="21"/>
        <v>0.9243235865092404</v>
      </c>
      <c r="N442" s="164">
        <f t="shared" si="22"/>
        <v>1.0468612112258451</v>
      </c>
      <c r="O442" s="164">
        <f t="shared" si="23"/>
        <v>-1.8076337884222224</v>
      </c>
      <c r="P442" s="164">
        <f t="shared" si="24"/>
        <v>-0.83010668288158795</v>
      </c>
    </row>
    <row r="443" spans="1:16">
      <c r="A443" s="164">
        <f t="shared" si="25"/>
        <v>-148</v>
      </c>
      <c r="B443" s="164">
        <f t="shared" si="12"/>
        <v>0.62486935190932746</v>
      </c>
      <c r="C443" s="164">
        <f t="shared" si="13"/>
        <v>0.51233634112175397</v>
      </c>
      <c r="D443" s="164">
        <f t="shared" si="14"/>
        <v>0.60413594870832821</v>
      </c>
      <c r="E443" s="164">
        <f t="shared" si="15"/>
        <v>-0.37381846238874106</v>
      </c>
      <c r="F443" s="164">
        <f t="shared" si="16"/>
        <v>-0.93496730528150618</v>
      </c>
      <c r="H443" s="164">
        <f t="shared" si="17"/>
        <v>0.6319759514856006</v>
      </c>
      <c r="I443" s="164">
        <f t="shared" si="18"/>
        <v>0.74521239343603218</v>
      </c>
      <c r="J443" s="164">
        <f t="shared" si="19"/>
        <v>0.11281637169436998</v>
      </c>
      <c r="K443" s="164">
        <f t="shared" si="20"/>
        <v>0.5585567386455309</v>
      </c>
      <c r="M443" s="164">
        <f t="shared" si="21"/>
        <v>0.85501316498649893</v>
      </c>
      <c r="N443" s="164">
        <f t="shared" si="22"/>
        <v>1.0082130587423526</v>
      </c>
      <c r="O443" s="164">
        <f t="shared" si="23"/>
        <v>-1.7383233668994809</v>
      </c>
      <c r="P443" s="164">
        <f t="shared" si="24"/>
        <v>-0.8729066363065161</v>
      </c>
    </row>
    <row r="444" spans="1:16">
      <c r="A444" s="164">
        <f t="shared" si="25"/>
        <v>-144</v>
      </c>
      <c r="B444" s="164">
        <f t="shared" si="12"/>
        <v>0.72654252800536101</v>
      </c>
      <c r="C444" s="164">
        <f t="shared" si="13"/>
        <v>0.48896007089905152</v>
      </c>
      <c r="D444" s="164">
        <f t="shared" si="14"/>
        <v>0.60438788591434445</v>
      </c>
      <c r="E444" s="164">
        <f t="shared" si="15"/>
        <v>-0.35044219216603856</v>
      </c>
      <c r="F444" s="164">
        <f t="shared" si="16"/>
        <v>-0.97007431384983711</v>
      </c>
      <c r="H444" s="164">
        <f t="shared" si="17"/>
        <v>0.5961993353995817</v>
      </c>
      <c r="I444" s="164">
        <f t="shared" si="18"/>
        <v>0.7369429066940798</v>
      </c>
      <c r="J444" s="164">
        <f t="shared" si="19"/>
        <v>0.14859298778038887</v>
      </c>
      <c r="K444" s="164">
        <f t="shared" si="20"/>
        <v>0.5202949695362904</v>
      </c>
      <c r="M444" s="164">
        <f t="shared" si="21"/>
        <v>0.78910707440414996</v>
      </c>
      <c r="N444" s="164">
        <f t="shared" si="22"/>
        <v>0.97538998548951383</v>
      </c>
      <c r="O444" s="164">
        <f t="shared" si="23"/>
        <v>-1.6724172763171321</v>
      </c>
      <c r="P444" s="164">
        <f t="shared" si="24"/>
        <v>-0.91195496273196541</v>
      </c>
    </row>
    <row r="445" spans="1:16">
      <c r="A445" s="164">
        <f t="shared" si="25"/>
        <v>-140</v>
      </c>
      <c r="B445" s="164">
        <f t="shared" si="12"/>
        <v>0.83909963117728037</v>
      </c>
      <c r="C445" s="164">
        <f t="shared" si="13"/>
        <v>0.46525904369706311</v>
      </c>
      <c r="D445" s="164">
        <f t="shared" si="14"/>
        <v>0.60735254706991137</v>
      </c>
      <c r="E445" s="164">
        <f t="shared" si="15"/>
        <v>-0.32674116496405015</v>
      </c>
      <c r="F445" s="164">
        <f t="shared" si="16"/>
        <v>-1.0052227198132595</v>
      </c>
      <c r="H445" s="164">
        <f t="shared" si="17"/>
        <v>0.56087643213633287</v>
      </c>
      <c r="I445" s="164">
        <f t="shared" si="18"/>
        <v>0.73217218292545005</v>
      </c>
      <c r="J445" s="164">
        <f t="shared" si="19"/>
        <v>0.18391589104363781</v>
      </c>
      <c r="K445" s="164">
        <f t="shared" si="20"/>
        <v>0.48282793453099293</v>
      </c>
      <c r="M445" s="164">
        <f t="shared" si="21"/>
        <v>0.72607108484917959</v>
      </c>
      <c r="N445" s="164">
        <f t="shared" si="22"/>
        <v>0.9478184867355145</v>
      </c>
      <c r="O445" s="164">
        <f t="shared" si="23"/>
        <v>-1.6093812867621615</v>
      </c>
      <c r="P445" s="164">
        <f t="shared" si="24"/>
        <v>-0.94788109353289407</v>
      </c>
    </row>
    <row r="446" spans="1:16">
      <c r="A446" s="164">
        <f t="shared" si="25"/>
        <v>-136</v>
      </c>
      <c r="B446" s="164">
        <f t="shared" si="12"/>
        <v>0.96568877480707371</v>
      </c>
      <c r="C446" s="164">
        <f t="shared" si="13"/>
        <v>0.44102144663990528</v>
      </c>
      <c r="D446" s="164">
        <f t="shared" si="14"/>
        <v>0.61309195797630123</v>
      </c>
      <c r="E446" s="164">
        <f t="shared" si="15"/>
        <v>-0.30250356790689237</v>
      </c>
      <c r="F446" s="164">
        <f t="shared" si="16"/>
        <v>-1.0407134883144931</v>
      </c>
      <c r="H446" s="164">
        <f t="shared" si="17"/>
        <v>0.52568955052350075</v>
      </c>
      <c r="I446" s="164">
        <f t="shared" si="18"/>
        <v>0.73079447331569347</v>
      </c>
      <c r="J446" s="164">
        <f t="shared" si="19"/>
        <v>0.21910277265646982</v>
      </c>
      <c r="K446" s="164">
        <f t="shared" si="20"/>
        <v>0.44580664389869806</v>
      </c>
      <c r="M446" s="164">
        <f t="shared" si="21"/>
        <v>0.66540251766726721</v>
      </c>
      <c r="N446" s="164">
        <f t="shared" si="22"/>
        <v>0.92501835343186711</v>
      </c>
      <c r="O446" s="164">
        <f t="shared" si="23"/>
        <v>-1.5487127195802493</v>
      </c>
      <c r="P446" s="164">
        <f t="shared" si="24"/>
        <v>-0.98120685606710523</v>
      </c>
    </row>
    <row r="447" spans="1:16">
      <c r="A447" s="164">
        <f t="shared" si="25"/>
        <v>-132</v>
      </c>
      <c r="B447" s="164">
        <f t="shared" si="12"/>
        <v>1.1106125148291928</v>
      </c>
      <c r="C447" s="164">
        <f t="shared" si="13"/>
        <v>0.41601711317067669</v>
      </c>
      <c r="D447" s="164">
        <f t="shared" si="14"/>
        <v>0.62172781997594739</v>
      </c>
      <c r="E447" s="164">
        <f t="shared" si="15"/>
        <v>-0.27749923443766378</v>
      </c>
      <c r="F447" s="164">
        <f t="shared" si="16"/>
        <v>-1.0768578401156259</v>
      </c>
      <c r="H447" s="164">
        <f t="shared" si="17"/>
        <v>0.49032519303388611</v>
      </c>
      <c r="I447" s="164">
        <f t="shared" si="18"/>
        <v>0.73277950279698034</v>
      </c>
      <c r="J447" s="164">
        <f t="shared" si="19"/>
        <v>0.25446713014608446</v>
      </c>
      <c r="K447" s="164">
        <f t="shared" si="20"/>
        <v>0.40889784615314506</v>
      </c>
      <c r="M447" s="164">
        <f t="shared" si="21"/>
        <v>0.60663132146811904</v>
      </c>
      <c r="N447" s="164">
        <f t="shared" si="22"/>
        <v>0.90659628434748285</v>
      </c>
      <c r="O447" s="164">
        <f t="shared" si="23"/>
        <v>-1.4899415233811011</v>
      </c>
      <c r="P447" s="164">
        <f t="shared" si="24"/>
        <v>-1.012367451537324</v>
      </c>
    </row>
    <row r="448" spans="1:16">
      <c r="A448" s="164">
        <f t="shared" si="25"/>
        <v>-128</v>
      </c>
      <c r="B448" s="164">
        <f t="shared" si="12"/>
        <v>1.2799416321930788</v>
      </c>
      <c r="C448" s="164">
        <f t="shared" si="13"/>
        <v>0.3899890832704741</v>
      </c>
      <c r="D448" s="164">
        <f t="shared" si="14"/>
        <v>0.63344727403024004</v>
      </c>
      <c r="E448" s="164">
        <f t="shared" si="15"/>
        <v>-0.25147120453746119</v>
      </c>
      <c r="F448" s="164">
        <f t="shared" si="16"/>
        <v>-1.1139872916238529</v>
      </c>
      <c r="H448" s="164">
        <f t="shared" si="17"/>
        <v>0.45446340364138499</v>
      </c>
      <c r="I448" s="164">
        <f t="shared" si="18"/>
        <v>0.73817092973211218</v>
      </c>
      <c r="J448" s="164">
        <f t="shared" si="19"/>
        <v>0.29032891953858553</v>
      </c>
      <c r="K448" s="164">
        <f t="shared" si="20"/>
        <v>0.37177251124384236</v>
      </c>
      <c r="M448" s="164">
        <f t="shared" si="21"/>
        <v>0.54931680708198305</v>
      </c>
      <c r="N448" s="164">
        <f t="shared" si="22"/>
        <v>0.89223839577004271</v>
      </c>
      <c r="O448" s="164">
        <f t="shared" si="23"/>
        <v>-1.4326270089949651</v>
      </c>
      <c r="P448" s="164">
        <f t="shared" si="24"/>
        <v>-1.0417285646750638</v>
      </c>
    </row>
    <row r="449" spans="1:16">
      <c r="A449" s="164">
        <f t="shared" si="25"/>
        <v>-124</v>
      </c>
      <c r="B449" s="164">
        <f t="shared" si="12"/>
        <v>1.4825609685127408</v>
      </c>
      <c r="C449" s="164">
        <f t="shared" si="13"/>
        <v>0.36264329323131833</v>
      </c>
      <c r="D449" s="164">
        <f t="shared" si="14"/>
        <v>0.6485119732036968</v>
      </c>
      <c r="E449" s="164">
        <f t="shared" si="15"/>
        <v>-0.22412541449830534</v>
      </c>
      <c r="F449" s="164">
        <f t="shared" si="16"/>
        <v>-1.1524648198828329</v>
      </c>
      <c r="H449" s="164">
        <f t="shared" si="17"/>
        <v>0.4177666263889675</v>
      </c>
      <c r="I449" s="164">
        <f t="shared" si="18"/>
        <v>0.74708856960811254</v>
      </c>
      <c r="J449" s="164">
        <f t="shared" si="19"/>
        <v>0.32702569679100307</v>
      </c>
      <c r="K449" s="164">
        <f t="shared" si="20"/>
        <v>0.33409464764109076</v>
      </c>
      <c r="M449" s="164">
        <f t="shared" si="21"/>
        <v>0.49304212117115559</v>
      </c>
      <c r="N449" s="164">
        <f t="shared" si="22"/>
        <v>0.88170310837456523</v>
      </c>
      <c r="O449" s="164">
        <f t="shared" si="23"/>
        <v>-1.3763523230841375</v>
      </c>
      <c r="P449" s="164">
        <f t="shared" si="24"/>
        <v>-1.0696001187085442</v>
      </c>
    </row>
    <row r="450" spans="1:16">
      <c r="A450" s="164">
        <f t="shared" si="25"/>
        <v>-120</v>
      </c>
      <c r="B450" s="164">
        <f t="shared" si="12"/>
        <v>1.7320508075688783</v>
      </c>
      <c r="C450" s="164">
        <f t="shared" si="13"/>
        <v>0.33363557967390534</v>
      </c>
      <c r="D450" s="164">
        <f t="shared" si="14"/>
        <v>0.667271159347811</v>
      </c>
      <c r="E450" s="164">
        <f t="shared" si="15"/>
        <v>-0.1951177009408924</v>
      </c>
      <c r="F450" s="164">
        <f t="shared" si="16"/>
        <v>-1.1926978030530582</v>
      </c>
      <c r="H450" s="164">
        <f t="shared" si="17"/>
        <v>0.37986728990735696</v>
      </c>
      <c r="I450" s="164">
        <f t="shared" si="18"/>
        <v>0.75973457981471426</v>
      </c>
      <c r="J450" s="164">
        <f t="shared" si="19"/>
        <v>0.36492503327261361</v>
      </c>
      <c r="K450" s="164">
        <f t="shared" si="20"/>
        <v>0.29550969561957996</v>
      </c>
      <c r="M450" s="164">
        <f t="shared" si="21"/>
        <v>0.43740756305319178</v>
      </c>
      <c r="N450" s="164">
        <f t="shared" si="22"/>
        <v>0.8748151261063839</v>
      </c>
      <c r="O450" s="164">
        <f t="shared" si="23"/>
        <v>-1.3207177649661739</v>
      </c>
      <c r="P450" s="164">
        <f t="shared" si="24"/>
        <v>-1.0962472368504754</v>
      </c>
    </row>
    <row r="451" spans="1:16">
      <c r="A451" s="164">
        <f t="shared" si="25"/>
        <v>-116</v>
      </c>
      <c r="B451" s="164">
        <f t="shared" si="12"/>
        <v>2.0503038415792956</v>
      </c>
      <c r="C451" s="164">
        <f t="shared" si="13"/>
        <v>0.30255488843354317</v>
      </c>
      <c r="D451" s="164">
        <f t="shared" si="14"/>
        <v>0.69017974985273756</v>
      </c>
      <c r="E451" s="164">
        <f t="shared" si="15"/>
        <v>-0.16403700970053028</v>
      </c>
      <c r="F451" s="164">
        <f t="shared" si="16"/>
        <v>-1.2351534778890485</v>
      </c>
      <c r="H451" s="164">
        <f t="shared" si="17"/>
        <v>0.34035318253590208</v>
      </c>
      <c r="I451" s="164">
        <f t="shared" si="18"/>
        <v>0.77640416124299172</v>
      </c>
      <c r="J451" s="164">
        <f t="shared" si="19"/>
        <v>0.40443914064406844</v>
      </c>
      <c r="K451" s="164">
        <f t="shared" si="20"/>
        <v>0.2556317042255194</v>
      </c>
      <c r="M451" s="164">
        <f t="shared" si="21"/>
        <v>0.38202328072969177</v>
      </c>
      <c r="N451" s="164">
        <f t="shared" si="22"/>
        <v>0.87146082384272994</v>
      </c>
      <c r="O451" s="164">
        <f t="shared" si="23"/>
        <v>-1.2653334826426739</v>
      </c>
      <c r="P451" s="164">
        <f t="shared" si="24"/>
        <v>-1.1218989140802724</v>
      </c>
    </row>
    <row r="452" spans="1:16">
      <c r="A452" s="164">
        <f t="shared" si="25"/>
        <v>-112</v>
      </c>
      <c r="B452" s="164">
        <f t="shared" si="12"/>
        <v>2.4750868534162955</v>
      </c>
      <c r="C452" s="164">
        <f t="shared" si="13"/>
        <v>0.2689011575102449</v>
      </c>
      <c r="D452" s="164">
        <f t="shared" si="14"/>
        <v>0.71782280994636338</v>
      </c>
      <c r="E452" s="164">
        <f t="shared" si="15"/>
        <v>-0.13038327877723191</v>
      </c>
      <c r="F452" s="164">
        <f t="shared" si="16"/>
        <v>-1.2803777476671914</v>
      </c>
      <c r="H452" s="164">
        <f t="shared" si="17"/>
        <v>0.29874941860157522</v>
      </c>
      <c r="I452" s="164">
        <f t="shared" si="18"/>
        <v>0.79750176278900831</v>
      </c>
      <c r="J452" s="164">
        <f t="shared" si="19"/>
        <v>0.4460429045783954</v>
      </c>
      <c r="K452" s="164">
        <f t="shared" si="20"/>
        <v>0.2140283834260982</v>
      </c>
      <c r="M452" s="164">
        <f t="shared" si="21"/>
        <v>0.32650154965023132</v>
      </c>
      <c r="N452" s="164">
        <f t="shared" si="22"/>
        <v>0.87158516531429142</v>
      </c>
      <c r="O452" s="164">
        <f t="shared" si="23"/>
        <v>-1.2098117515632132</v>
      </c>
      <c r="P452" s="164">
        <f t="shared" si="24"/>
        <v>-1.146754807186795</v>
      </c>
    </row>
    <row r="453" spans="1:16">
      <c r="A453" s="164">
        <f t="shared" si="25"/>
        <v>-108</v>
      </c>
      <c r="B453" s="164">
        <f t="shared" si="12"/>
        <v>3.077683537175254</v>
      </c>
      <c r="C453" s="164">
        <f t="shared" si="13"/>
        <v>0.23205575336736559</v>
      </c>
      <c r="D453" s="164">
        <f t="shared" si="14"/>
        <v>0.75094819246672084</v>
      </c>
      <c r="E453" s="164">
        <f t="shared" si="15"/>
        <v>-9.3537874634352619E-2</v>
      </c>
      <c r="F453" s="164">
        <f t="shared" si="16"/>
        <v>-1.3290181996907018</v>
      </c>
      <c r="H453" s="164">
        <f t="shared" si="17"/>
        <v>0.25449537510252657</v>
      </c>
      <c r="I453" s="164">
        <f t="shared" si="18"/>
        <v>0.82356433379108362</v>
      </c>
      <c r="J453" s="164">
        <f t="shared" si="19"/>
        <v>0.49029694807744401</v>
      </c>
      <c r="K453" s="164">
        <f t="shared" si="20"/>
        <v>0.17020291563233159</v>
      </c>
      <c r="M453" s="164">
        <f t="shared" si="21"/>
        <v>0.27044864113038958</v>
      </c>
      <c r="N453" s="164">
        <f t="shared" si="22"/>
        <v>0.87519018712038643</v>
      </c>
      <c r="O453" s="164">
        <f t="shared" si="23"/>
        <v>-1.1537588430433716</v>
      </c>
      <c r="P453" s="164">
        <f t="shared" si="24"/>
        <v>-1.1709904444858781</v>
      </c>
    </row>
    <row r="454" spans="1:16">
      <c r="A454" s="164">
        <f t="shared" si="25"/>
        <v>-104</v>
      </c>
      <c r="B454" s="164">
        <f t="shared" si="12"/>
        <v>4.0107809335358438</v>
      </c>
      <c r="C454" s="164">
        <f t="shared" si="13"/>
        <v>0.19124154850872144</v>
      </c>
      <c r="D454" s="164">
        <f t="shared" si="14"/>
        <v>0.79050946601868499</v>
      </c>
      <c r="E454" s="164">
        <f t="shared" si="15"/>
        <v>-5.2723669775708498E-2</v>
      </c>
      <c r="F454" s="164">
        <f t="shared" si="16"/>
        <v>-1.3818519843038097</v>
      </c>
      <c r="H454" s="164">
        <f t="shared" si="17"/>
        <v>0.20691432915281391</v>
      </c>
      <c r="I454" s="164">
        <f t="shared" si="18"/>
        <v>0.85529393129101317</v>
      </c>
      <c r="J454" s="164">
        <f t="shared" si="19"/>
        <v>0.53787799402715664</v>
      </c>
      <c r="K454" s="164">
        <f t="shared" si="20"/>
        <v>0.12357109563115287</v>
      </c>
      <c r="M454" s="164">
        <f t="shared" si="21"/>
        <v>0.21345616907893955</v>
      </c>
      <c r="N454" s="164">
        <f t="shared" si="22"/>
        <v>0.88233505507978782</v>
      </c>
      <c r="O454" s="164">
        <f t="shared" si="23"/>
        <v>-1.0967663709919215</v>
      </c>
      <c r="P454" s="164">
        <f t="shared" si="24"/>
        <v>-1.1947610471148737</v>
      </c>
    </row>
    <row r="455" spans="1:16">
      <c r="A455" s="164">
        <f t="shared" si="25"/>
        <v>-100</v>
      </c>
      <c r="B455" s="164">
        <f t="shared" si="12"/>
        <v>5.6712818196177111</v>
      </c>
      <c r="C455" s="164">
        <f t="shared" si="13"/>
        <v>0.14546876101420481</v>
      </c>
      <c r="D455" s="164">
        <f t="shared" si="14"/>
        <v>0.83772120714807807</v>
      </c>
      <c r="E455" s="164">
        <f t="shared" si="15"/>
        <v>-6.9508822811918392E-3</v>
      </c>
      <c r="F455" s="164">
        <f t="shared" si="16"/>
        <v>-1.4398183675073328</v>
      </c>
      <c r="H455" s="164">
        <f t="shared" si="17"/>
        <v>0.15517254137776437</v>
      </c>
      <c r="I455" s="164">
        <f t="shared" si="18"/>
        <v>0.89360305108065374</v>
      </c>
      <c r="J455" s="164">
        <f t="shared" si="19"/>
        <v>0.5896197818022062</v>
      </c>
      <c r="K455" s="164">
        <f t="shared" si="20"/>
        <v>7.3431929053026757E-2</v>
      </c>
      <c r="M455" s="164">
        <f t="shared" si="21"/>
        <v>0.15509173276207749</v>
      </c>
      <c r="N455" s="164">
        <f t="shared" si="22"/>
        <v>0.89313769280985245</v>
      </c>
      <c r="O455" s="164">
        <f t="shared" si="23"/>
        <v>-1.0384019346750595</v>
      </c>
      <c r="P455" s="164">
        <f t="shared" si="24"/>
        <v>-1.2182040384140382</v>
      </c>
    </row>
    <row r="456" spans="1:16">
      <c r="A456" s="164">
        <f t="shared" si="25"/>
        <v>-96</v>
      </c>
      <c r="B456" s="164">
        <f t="shared" si="12"/>
        <v>9.5143644542225978</v>
      </c>
      <c r="C456" s="164">
        <f t="shared" si="13"/>
        <v>9.3461768406406825E-2</v>
      </c>
      <c r="D456" s="164">
        <f t="shared" si="14"/>
        <v>0.89412745088474743</v>
      </c>
      <c r="E456" s="164">
        <f t="shared" si="15"/>
        <v>4.5056110326606114E-2</v>
      </c>
      <c r="F456" s="164">
        <f t="shared" si="16"/>
        <v>-1.5040533549998614</v>
      </c>
      <c r="H456" s="164">
        <f t="shared" si="17"/>
        <v>9.8223048274331218E-2</v>
      </c>
      <c r="I456" s="164">
        <f t="shared" si="18"/>
        <v>0.93967753092115591</v>
      </c>
      <c r="J456" s="164">
        <f t="shared" si="19"/>
        <v>0.64656927490563931</v>
      </c>
      <c r="K456" s="164">
        <f t="shared" si="20"/>
        <v>1.8929262785931433E-2</v>
      </c>
      <c r="M456" s="164">
        <f t="shared" si="21"/>
        <v>9.4888636742227472E-2</v>
      </c>
      <c r="N456" s="164">
        <f t="shared" si="22"/>
        <v>0.90777797526074488</v>
      </c>
      <c r="O456" s="164">
        <f t="shared" si="23"/>
        <v>-0.97819883865520951</v>
      </c>
      <c r="P456" s="164">
        <f t="shared" si="24"/>
        <v>-1.2414401865573492</v>
      </c>
    </row>
    <row r="457" spans="1:16">
      <c r="A457" s="164">
        <f t="shared" si="25"/>
        <v>-92</v>
      </c>
      <c r="B457" s="164">
        <f t="shared" si="12"/>
        <v>28.636253282915796</v>
      </c>
      <c r="C457" s="164">
        <f t="shared" si="13"/>
        <v>3.3562127209044418E-2</v>
      </c>
      <c r="D457" s="164">
        <f t="shared" si="14"/>
        <v>0.96167940458119872</v>
      </c>
      <c r="E457" s="164">
        <f t="shared" si="15"/>
        <v>0.10495575152396852</v>
      </c>
      <c r="F457" s="164">
        <f t="shared" si="16"/>
        <v>-1.5759176033167954</v>
      </c>
      <c r="H457" s="164">
        <f t="shared" si="17"/>
        <v>3.472722834388732E-2</v>
      </c>
      <c r="I457" s="164">
        <f t="shared" si="18"/>
        <v>0.99506387269472929</v>
      </c>
      <c r="J457" s="164">
        <f t="shared" si="19"/>
        <v>0.71006509483608327</v>
      </c>
      <c r="K457" s="164">
        <f t="shared" si="20"/>
        <v>-4.099856479659103E-2</v>
      </c>
      <c r="M457" s="164">
        <f t="shared" si="21"/>
        <v>3.2334469114219007E-2</v>
      </c>
      <c r="N457" s="164">
        <f t="shared" si="22"/>
        <v>0.92650244758120159</v>
      </c>
      <c r="O457" s="164">
        <f t="shared" si="23"/>
        <v>-0.91564467102720104</v>
      </c>
      <c r="P457" s="164">
        <f t="shared" si="24"/>
        <v>-1.2645731613508531</v>
      </c>
    </row>
    <row r="458" spans="1:16">
      <c r="A458" s="164">
        <f t="shared" si="25"/>
        <v>-88</v>
      </c>
      <c r="B458" s="164">
        <f t="shared" si="12"/>
        <v>-28.636253282915515</v>
      </c>
      <c r="C458" s="164">
        <f t="shared" si="13"/>
        <v>3.6393371764455826E-2</v>
      </c>
      <c r="D458" s="164">
        <f t="shared" si="14"/>
        <v>1.0428050603333683</v>
      </c>
      <c r="E458" s="164">
        <f t="shared" si="15"/>
        <v>0.17491125049746875</v>
      </c>
      <c r="F458" s="164">
        <f t="shared" si="16"/>
        <v>-1.6569938395114225</v>
      </c>
      <c r="H458" s="164">
        <f t="shared" si="17"/>
        <v>3.7055946871229581E-2</v>
      </c>
      <c r="I458" s="164">
        <f t="shared" si="18"/>
        <v>1.0617902942014048</v>
      </c>
      <c r="J458" s="164">
        <f t="shared" si="19"/>
        <v>0.78184827005120017</v>
      </c>
      <c r="K458" s="164">
        <f t="shared" si="20"/>
        <v>-0.10768433837017233</v>
      </c>
      <c r="M458" s="164">
        <f t="shared" si="21"/>
        <v>3.3141624350420833E-2</v>
      </c>
      <c r="N458" s="164">
        <f t="shared" si="22"/>
        <v>0.94963043831075455</v>
      </c>
      <c r="O458" s="164">
        <f t="shared" si="23"/>
        <v>-0.85016857756256126</v>
      </c>
      <c r="P458" s="164">
        <f t="shared" si="24"/>
        <v>-1.287687063133351</v>
      </c>
    </row>
    <row r="459" spans="1:16">
      <c r="A459" s="164">
        <f t="shared" si="25"/>
        <v>-84</v>
      </c>
      <c r="B459" s="164">
        <f t="shared" si="12"/>
        <v>-9.5143644542225871</v>
      </c>
      <c r="C459" s="164">
        <f t="shared" si="13"/>
        <v>0.11920616313346483</v>
      </c>
      <c r="D459" s="164">
        <f t="shared" si="14"/>
        <v>1.1404182115279735</v>
      </c>
      <c r="E459" s="164">
        <f t="shared" si="15"/>
        <v>0.25772404186647779</v>
      </c>
      <c r="F459" s="164">
        <f t="shared" si="16"/>
        <v>-1.7489949090864565</v>
      </c>
      <c r="H459" s="164">
        <f t="shared" si="17"/>
        <v>0.11942722779110047</v>
      </c>
      <c r="I459" s="164">
        <f t="shared" si="18"/>
        <v>1.1425330867564516</v>
      </c>
      <c r="J459" s="164">
        <f t="shared" si="19"/>
        <v>0.86421955097107106</v>
      </c>
      <c r="K459" s="164">
        <f t="shared" si="20"/>
        <v>-0.18281502908937142</v>
      </c>
      <c r="M459" s="164">
        <f t="shared" si="21"/>
        <v>0.10218297310111984</v>
      </c>
      <c r="N459" s="164">
        <f t="shared" si="22"/>
        <v>0.97756122980084581</v>
      </c>
      <c r="O459" s="164">
        <f t="shared" si="23"/>
        <v>-0.78112722881186225</v>
      </c>
      <c r="P459" s="164">
        <f t="shared" si="24"/>
        <v>-1.310841161127537</v>
      </c>
    </row>
    <row r="460" spans="1:16">
      <c r="A460" s="164">
        <f t="shared" si="25"/>
        <v>-80</v>
      </c>
      <c r="B460" s="164">
        <f t="shared" si="12"/>
        <v>-5.6712818196177066</v>
      </c>
      <c r="C460" s="164">
        <f t="shared" si="13"/>
        <v>0.21840224357926666</v>
      </c>
      <c r="D460" s="164">
        <f t="shared" si="14"/>
        <v>1.2577283937766262</v>
      </c>
      <c r="E460" s="164">
        <f t="shared" si="15"/>
        <v>0.35692012231227954</v>
      </c>
      <c r="F460" s="164">
        <f t="shared" si="16"/>
        <v>-1.8534447012199724</v>
      </c>
      <c r="H460" s="164">
        <f t="shared" si="17"/>
        <v>0.21546947450412898</v>
      </c>
      <c r="I460" s="164">
        <f t="shared" si="18"/>
        <v>1.2408392497928469</v>
      </c>
      <c r="J460" s="164">
        <f t="shared" si="19"/>
        <v>0.96026179768409947</v>
      </c>
      <c r="K460" s="164">
        <f t="shared" si="20"/>
        <v>-0.2685289715652287</v>
      </c>
      <c r="M460" s="164">
        <f t="shared" si="21"/>
        <v>0.17552037086964969</v>
      </c>
      <c r="N460" s="164">
        <f t="shared" si="22"/>
        <v>1.0107815309545618</v>
      </c>
      <c r="O460" s="164">
        <f t="shared" si="23"/>
        <v>-0.70778983104333237</v>
      </c>
      <c r="P460" s="164">
        <f t="shared" si="24"/>
        <v>-1.3340606023130612</v>
      </c>
    </row>
    <row r="461" spans="1:16">
      <c r="A461" s="164">
        <f t="shared" si="25"/>
        <v>-76</v>
      </c>
      <c r="B461" s="164">
        <f t="shared" si="12"/>
        <v>-4.010780933535842</v>
      </c>
      <c r="C461" s="164">
        <f t="shared" si="13"/>
        <v>0.33809037000106096</v>
      </c>
      <c r="D461" s="164">
        <f t="shared" si="14"/>
        <v>1.3975186874384145</v>
      </c>
      <c r="E461" s="164">
        <f t="shared" si="15"/>
        <v>0.47660824873407392</v>
      </c>
      <c r="F461" s="164">
        <f t="shared" si="16"/>
        <v>-1.9708304376574932</v>
      </c>
      <c r="H461" s="164">
        <f t="shared" si="17"/>
        <v>0.32935344812471606</v>
      </c>
      <c r="I461" s="164">
        <f t="shared" si="18"/>
        <v>1.3614040486427481</v>
      </c>
      <c r="J461" s="164">
        <f t="shared" si="19"/>
        <v>1.0741457713046867</v>
      </c>
      <c r="K461" s="164">
        <f t="shared" si="20"/>
        <v>-0.36750538826027868</v>
      </c>
      <c r="M461" s="164">
        <f t="shared" si="21"/>
        <v>0.25398695113253456</v>
      </c>
      <c r="N461" s="164">
        <f t="shared" si="22"/>
        <v>1.0498716972391451</v>
      </c>
      <c r="O461" s="164">
        <f t="shared" si="23"/>
        <v>-0.62932325078044737</v>
      </c>
      <c r="P461" s="164">
        <f t="shared" si="24"/>
        <v>-1.3573211349967291</v>
      </c>
    </row>
    <row r="462" spans="1:16">
      <c r="A462" s="164">
        <f t="shared" si="25"/>
        <v>-72</v>
      </c>
      <c r="B462" s="164">
        <f t="shared" si="12"/>
        <v>-3.0776835371752527</v>
      </c>
      <c r="C462" s="164">
        <f t="shared" si="13"/>
        <v>0.48212319572879569</v>
      </c>
      <c r="D462" s="164">
        <f t="shared" si="14"/>
        <v>1.5601834349078187</v>
      </c>
      <c r="E462" s="164">
        <f t="shared" si="15"/>
        <v>0.62064107446180861</v>
      </c>
      <c r="F462" s="164">
        <f t="shared" si="16"/>
        <v>-2.0986466502299961</v>
      </c>
      <c r="H462" s="164">
        <f t="shared" si="17"/>
        <v>0.46672408287017114</v>
      </c>
      <c r="I462" s="164">
        <f t="shared" si="18"/>
        <v>1.5103508589041186</v>
      </c>
      <c r="J462" s="164">
        <f t="shared" si="19"/>
        <v>1.2115164060501415</v>
      </c>
      <c r="K462" s="164">
        <f t="shared" si="20"/>
        <v>-0.48296988438012523</v>
      </c>
      <c r="M462" s="164">
        <f t="shared" si="21"/>
        <v>0.33853048557310211</v>
      </c>
      <c r="N462" s="164">
        <f t="shared" si="22"/>
        <v>1.0955076637705701</v>
      </c>
      <c r="O462" s="164">
        <f t="shared" si="23"/>
        <v>-0.54477971633987998</v>
      </c>
      <c r="P462" s="164">
        <f t="shared" si="24"/>
        <v>-1.3805248163077404</v>
      </c>
    </row>
    <row r="463" spans="1:16">
      <c r="A463" s="164">
        <f t="shared" si="25"/>
        <v>-68</v>
      </c>
      <c r="B463" s="164">
        <f t="shared" si="12"/>
        <v>-2.4750868534162964</v>
      </c>
      <c r="C463" s="164">
        <f t="shared" si="13"/>
        <v>0.65158520673431952</v>
      </c>
      <c r="D463" s="164">
        <f t="shared" si="14"/>
        <v>1.7393853129832351</v>
      </c>
      <c r="E463" s="164">
        <f t="shared" si="15"/>
        <v>0.79010308546733243</v>
      </c>
      <c r="F463" s="164">
        <f t="shared" si="16"/>
        <v>-2.2275540069138136</v>
      </c>
      <c r="H463" s="164">
        <f t="shared" si="17"/>
        <v>0.63506697185577687</v>
      </c>
      <c r="I463" s="164">
        <f t="shared" si="18"/>
        <v>1.695290427391611</v>
      </c>
      <c r="J463" s="164">
        <f t="shared" si="19"/>
        <v>1.3798592950357476</v>
      </c>
      <c r="K463" s="164">
        <f t="shared" si="20"/>
        <v>-0.61838677120651153</v>
      </c>
      <c r="M463" s="164">
        <f t="shared" si="21"/>
        <v>0.43021802742292381</v>
      </c>
      <c r="N463" s="164">
        <f t="shared" si="22"/>
        <v>1.1484528969442578</v>
      </c>
      <c r="O463" s="164">
        <f t="shared" si="23"/>
        <v>-0.45309217449005823</v>
      </c>
      <c r="P463" s="164">
        <f t="shared" si="24"/>
        <v>-1.4034620978046302</v>
      </c>
    </row>
    <row r="464" spans="1:16">
      <c r="A464" s="164">
        <f t="shared" si="25"/>
        <v>-64</v>
      </c>
      <c r="B464" s="164">
        <f t="shared" si="12"/>
        <v>-2.050303841579296</v>
      </c>
      <c r="C464" s="164">
        <f t="shared" si="13"/>
        <v>0.83943918987417432</v>
      </c>
      <c r="D464" s="164">
        <f t="shared" si="14"/>
        <v>1.9149052030973903</v>
      </c>
      <c r="E464" s="164">
        <f t="shared" si="15"/>
        <v>0.97795706860718723</v>
      </c>
      <c r="F464" s="164">
        <f t="shared" si="16"/>
        <v>-2.3359294236163914</v>
      </c>
      <c r="H464" s="164">
        <f t="shared" si="17"/>
        <v>0.84361411615860527</v>
      </c>
      <c r="I464" s="164">
        <f t="shared" si="18"/>
        <v>1.9244289281760387</v>
      </c>
      <c r="J464" s="164">
        <f t="shared" si="19"/>
        <v>1.5884064393385757</v>
      </c>
      <c r="K464" s="164">
        <f t="shared" si="20"/>
        <v>-0.77620612129789224</v>
      </c>
      <c r="M464" s="164">
        <f t="shared" si="21"/>
        <v>0.53022306273997222</v>
      </c>
      <c r="N464" s="164">
        <f t="shared" si="22"/>
        <v>1.2095300218175384</v>
      </c>
      <c r="O464" s="164">
        <f t="shared" si="23"/>
        <v>-0.35308713917300982</v>
      </c>
      <c r="P464" s="164">
        <f t="shared" si="24"/>
        <v>-1.425753496457165</v>
      </c>
    </row>
    <row r="465" spans="1:16">
      <c r="A465" s="164">
        <f t="shared" si="25"/>
        <v>-60</v>
      </c>
      <c r="B465" s="164">
        <f t="shared" si="12"/>
        <v>-1.7320508075688767</v>
      </c>
      <c r="C465" s="164">
        <f t="shared" si="13"/>
        <v>1.0238327581031981</v>
      </c>
      <c r="D465" s="164">
        <f t="shared" si="14"/>
        <v>2.0476655162063957</v>
      </c>
      <c r="E465" s="164">
        <f t="shared" si="15"/>
        <v>1.1623506368362111</v>
      </c>
      <c r="F465" s="164">
        <f t="shared" si="16"/>
        <v>-2.3881543833332746</v>
      </c>
      <c r="H465" s="164">
        <f t="shared" si="17"/>
        <v>1.1013296072315482</v>
      </c>
      <c r="I465" s="164">
        <f t="shared" si="18"/>
        <v>2.2026592144630959</v>
      </c>
      <c r="J465" s="164">
        <f t="shared" si="19"/>
        <v>1.8461219304115186</v>
      </c>
      <c r="K465" s="164">
        <f t="shared" si="20"/>
        <v>-0.95409969373229819</v>
      </c>
      <c r="M465" s="164">
        <f t="shared" si="21"/>
        <v>0.63977699006861988</v>
      </c>
      <c r="N465" s="164">
        <f t="shared" si="22"/>
        <v>1.2795539801372395</v>
      </c>
      <c r="O465" s="164">
        <f t="shared" si="23"/>
        <v>-0.24353321184436216</v>
      </c>
      <c r="P465" s="164">
        <f t="shared" si="24"/>
        <v>-1.446761366339798</v>
      </c>
    </row>
    <row r="466" spans="1:16">
      <c r="A466" s="164">
        <f t="shared" si="25"/>
        <v>-56</v>
      </c>
      <c r="B466" s="164">
        <f t="shared" si="12"/>
        <v>-1.4825609685127403</v>
      </c>
      <c r="C466" s="164">
        <f t="shared" si="13"/>
        <v>1.1697027988517568</v>
      </c>
      <c r="D466" s="164">
        <f t="shared" si="14"/>
        <v>2.0917697481347735</v>
      </c>
      <c r="E466" s="164">
        <f t="shared" si="15"/>
        <v>1.3082206775847698</v>
      </c>
      <c r="F466" s="164">
        <f t="shared" si="16"/>
        <v>-2.3489797421828831</v>
      </c>
      <c r="H466" s="164">
        <f t="shared" si="17"/>
        <v>1.4091757878772035</v>
      </c>
      <c r="I466" s="164">
        <f t="shared" si="18"/>
        <v>2.5200172948026731</v>
      </c>
      <c r="J466" s="164">
        <f t="shared" si="19"/>
        <v>2.153968111057174</v>
      </c>
      <c r="K466" s="164">
        <f t="shared" si="20"/>
        <v>-1.1357298790073127</v>
      </c>
      <c r="M466" s="164">
        <f t="shared" si="21"/>
        <v>0.76005294127877598</v>
      </c>
      <c r="N466" s="164">
        <f t="shared" si="22"/>
        <v>1.3591963284250386</v>
      </c>
      <c r="O466" s="164">
        <f t="shared" si="23"/>
        <v>-0.12325726063420595</v>
      </c>
      <c r="P466" s="164">
        <f t="shared" si="24"/>
        <v>-1.465459938770679</v>
      </c>
    </row>
    <row r="467" spans="1:16">
      <c r="A467" s="164">
        <f t="shared" si="25"/>
        <v>-52</v>
      </c>
      <c r="B467" s="164">
        <f t="shared" si="12"/>
        <v>-1.2799416321930788</v>
      </c>
      <c r="C467" s="164">
        <f t="shared" ref="C467:C498" si="26">$B$431/(SQRT(1/(1-$C$177^2)*(1/$E$177+B467^2/$F$178-2*$C$177*B467/SQRT($E$177*$F$178))))</f>
        <v>1.2487963981066366</v>
      </c>
      <c r="D467" s="164">
        <f t="shared" si="14"/>
        <v>2.0283815833142351</v>
      </c>
      <c r="E467" s="164">
        <f t="shared" ref="E467:E498" si="27">D467*COS(A467*PI()/180)+$C$166</f>
        <v>1.3873142768396496</v>
      </c>
      <c r="F467" s="164">
        <f t="shared" ref="F467:F498" si="28">D467*SIN(A467*PI()/180)+$D$166</f>
        <v>-2.2132105279146059</v>
      </c>
      <c r="H467" s="164">
        <f t="shared" ref="H467:H498" si="29">$B$431/(SQRT(1/(1-$C$180^2)*(1/$E$180+B467^2/$F$181-2*$C$180*B467/SQRT($E$180*$F$181))))</f>
        <v>1.7411257546495134</v>
      </c>
      <c r="I467" s="164">
        <f t="shared" si="18"/>
        <v>2.8280570157951384</v>
      </c>
      <c r="J467" s="164">
        <f t="shared" ref="J467:J498" si="30">I467*COS(A467*PI()/180)+$C$167</f>
        <v>2.485918077829484</v>
      </c>
      <c r="K467" s="164">
        <f t="shared" ref="K467:K498" si="31">I467*SIN(A467*PI()/180)+$D$167</f>
        <v>-1.2750801983868856</v>
      </c>
      <c r="M467" s="164">
        <f t="shared" ref="M467:M498" si="32">$B$431/(SQRT(1/(1-$C$183^2)*(1/$E$183+B467^2/$F$184-2*$C$183*B467/SQRT($E$183*$F$184))))</f>
        <v>0.89192937033779052</v>
      </c>
      <c r="N467" s="164">
        <f t="shared" si="22"/>
        <v>1.4487334453824621</v>
      </c>
      <c r="O467" s="164">
        <f t="shared" ref="O467:O498" si="33">N467*COS(A467*PI()/180)+$C$168</f>
        <v>8.6191684248085876E-3</v>
      </c>
      <c r="P467" s="164">
        <f t="shared" ref="P467:P498" si="34">N467*SIN(A467*PI()/180)+$D$168</f>
        <v>-1.4802526480985565</v>
      </c>
    </row>
    <row r="468" spans="1:16">
      <c r="A468" s="164">
        <f t="shared" si="25"/>
        <v>-48</v>
      </c>
      <c r="B468" s="164">
        <f t="shared" si="12"/>
        <v>-1.1106125148291928</v>
      </c>
      <c r="C468" s="164">
        <f t="shared" si="26"/>
        <v>1.2606343226574213</v>
      </c>
      <c r="D468" s="164">
        <f t="shared" si="14"/>
        <v>1.8839884331659709</v>
      </c>
      <c r="E468" s="164">
        <f t="shared" si="27"/>
        <v>1.3991522013904343</v>
      </c>
      <c r="F468" s="164">
        <f t="shared" si="28"/>
        <v>-2.0149002832117144</v>
      </c>
      <c r="H468" s="164">
        <f t="shared" si="29"/>
        <v>2.0226804098670605</v>
      </c>
      <c r="I468" s="164">
        <f t="shared" si="18"/>
        <v>3.022848440416857</v>
      </c>
      <c r="J468" s="164">
        <f t="shared" si="30"/>
        <v>2.7674727330470312</v>
      </c>
      <c r="K468" s="164">
        <f t="shared" si="31"/>
        <v>-1.2929550348255794</v>
      </c>
      <c r="M468" s="164">
        <f t="shared" si="32"/>
        <v>1.0355565821812811</v>
      </c>
      <c r="N468" s="164">
        <f t="shared" si="22"/>
        <v>1.5476150281278671</v>
      </c>
      <c r="O468" s="164">
        <f t="shared" si="33"/>
        <v>0.15224638026829906</v>
      </c>
      <c r="P468" s="164">
        <f t="shared" si="34"/>
        <v>-1.4887372140117359</v>
      </c>
    </row>
    <row r="469" spans="1:16">
      <c r="A469" s="164">
        <f t="shared" si="25"/>
        <v>-44</v>
      </c>
      <c r="B469" s="164">
        <f t="shared" si="12"/>
        <v>-0.96568877480707394</v>
      </c>
      <c r="C469" s="164">
        <f t="shared" si="26"/>
        <v>1.2267420777069358</v>
      </c>
      <c r="D469" s="164">
        <f t="shared" si="14"/>
        <v>1.7053721719963355</v>
      </c>
      <c r="E469" s="164">
        <f t="shared" si="27"/>
        <v>1.365259956439949</v>
      </c>
      <c r="F469" s="164">
        <f t="shared" si="28"/>
        <v>-1.7994750818702547</v>
      </c>
      <c r="H469" s="164">
        <f t="shared" si="29"/>
        <v>2.1592262770998678</v>
      </c>
      <c r="I469" s="164">
        <f t="shared" si="18"/>
        <v>3.0016777551907263</v>
      </c>
      <c r="J469" s="164">
        <f t="shared" si="30"/>
        <v>2.9040186002798385</v>
      </c>
      <c r="K469" s="164">
        <f t="shared" si="31"/>
        <v>-1.1316814361911924</v>
      </c>
      <c r="M469" s="164">
        <f t="shared" si="32"/>
        <v>1.1896394731689606</v>
      </c>
      <c r="N469" s="164">
        <f t="shared" si="22"/>
        <v>1.653793482035752</v>
      </c>
      <c r="O469" s="164">
        <f t="shared" si="33"/>
        <v>0.30632927125597853</v>
      </c>
      <c r="P469" s="164">
        <f t="shared" si="34"/>
        <v>-1.4874565993341262</v>
      </c>
    </row>
    <row r="470" spans="1:16">
      <c r="A470" s="164">
        <f t="shared" si="25"/>
        <v>-40</v>
      </c>
      <c r="B470" s="164">
        <f t="shared" si="12"/>
        <v>-0.83909963117727993</v>
      </c>
      <c r="C470" s="164">
        <f t="shared" si="26"/>
        <v>1.1707058850223737</v>
      </c>
      <c r="D470" s="164">
        <f t="shared" si="14"/>
        <v>1.5282479959724031</v>
      </c>
      <c r="E470" s="164">
        <f t="shared" si="27"/>
        <v>1.3092237637553867</v>
      </c>
      <c r="F470" s="164">
        <f t="shared" si="28"/>
        <v>-1.5971629041845046</v>
      </c>
      <c r="H470" s="164">
        <f t="shared" si="29"/>
        <v>2.1274904310105414</v>
      </c>
      <c r="I470" s="164">
        <f t="shared" si="18"/>
        <v>2.777241516625832</v>
      </c>
      <c r="J470" s="164">
        <f t="shared" si="30"/>
        <v>2.872282754190512</v>
      </c>
      <c r="K470" s="164">
        <f t="shared" si="31"/>
        <v>-0.83171729412151885</v>
      </c>
      <c r="M470" s="164">
        <f t="shared" si="32"/>
        <v>1.3504073325509367</v>
      </c>
      <c r="N470" s="164">
        <f t="shared" si="22"/>
        <v>1.7628315754797512</v>
      </c>
      <c r="O470" s="164">
        <f t="shared" si="33"/>
        <v>0.46709713063795466</v>
      </c>
      <c r="P470" s="164">
        <f t="shared" si="34"/>
        <v>-1.471761408710045</v>
      </c>
    </row>
    <row r="471" spans="1:16">
      <c r="A471" s="164">
        <f t="shared" si="25"/>
        <v>-36</v>
      </c>
      <c r="B471" s="164">
        <f t="shared" si="12"/>
        <v>-0.7265425280053609</v>
      </c>
      <c r="C471" s="164">
        <f t="shared" si="26"/>
        <v>1.1080745612133189</v>
      </c>
      <c r="D471" s="164">
        <f t="shared" si="14"/>
        <v>1.3696554817979141</v>
      </c>
      <c r="E471" s="164">
        <f t="shared" si="27"/>
        <v>1.246592439946332</v>
      </c>
      <c r="F471" s="164">
        <f t="shared" si="28"/>
        <v>-1.4198873207675153</v>
      </c>
      <c r="H471" s="164">
        <f t="shared" si="29"/>
        <v>1.9912767999694876</v>
      </c>
      <c r="I471" s="164">
        <f t="shared" si="18"/>
        <v>2.461353486780538</v>
      </c>
      <c r="J471" s="164">
        <f t="shared" si="30"/>
        <v>2.7360691231494583</v>
      </c>
      <c r="K471" s="164">
        <f t="shared" si="31"/>
        <v>-0.49328813833563834</v>
      </c>
      <c r="M471" s="164">
        <f t="shared" si="32"/>
        <v>1.5104696158126616</v>
      </c>
      <c r="N471" s="164">
        <f t="shared" si="22"/>
        <v>1.8670431230924411</v>
      </c>
      <c r="O471" s="164">
        <f t="shared" si="33"/>
        <v>0.62715941389967977</v>
      </c>
      <c r="P471" s="164">
        <f t="shared" si="34"/>
        <v>-1.4360555271752773</v>
      </c>
    </row>
    <row r="472" spans="1:16">
      <c r="A472" s="164">
        <f t="shared" si="25"/>
        <v>-32</v>
      </c>
      <c r="B472" s="164">
        <f t="shared" si="12"/>
        <v>-0.62486935190932746</v>
      </c>
      <c r="C472" s="164">
        <f t="shared" si="26"/>
        <v>1.0466630778490424</v>
      </c>
      <c r="D472" s="164">
        <f t="shared" si="14"/>
        <v>1.2342024969960916</v>
      </c>
      <c r="E472" s="164">
        <f t="shared" si="27"/>
        <v>1.1851809565820555</v>
      </c>
      <c r="F472" s="164">
        <f t="shared" si="28"/>
        <v>-1.2688517069681127</v>
      </c>
      <c r="H472" s="164">
        <f t="shared" si="29"/>
        <v>1.8224361712521497</v>
      </c>
      <c r="I472" s="164">
        <f t="shared" si="18"/>
        <v>2.1489773746464422</v>
      </c>
      <c r="J472" s="164">
        <f t="shared" si="30"/>
        <v>2.5672284944321202</v>
      </c>
      <c r="K472" s="164">
        <f t="shared" si="31"/>
        <v>-0.18532536735382832</v>
      </c>
      <c r="M472" s="164">
        <f t="shared" si="32"/>
        <v>1.6582386142310153</v>
      </c>
      <c r="N472" s="164">
        <f t="shared" si="22"/>
        <v>1.955359161522304</v>
      </c>
      <c r="O472" s="164">
        <f t="shared" si="33"/>
        <v>0.77492841231803322</v>
      </c>
      <c r="P472" s="164">
        <f t="shared" si="34"/>
        <v>-1.3748176022130156</v>
      </c>
    </row>
    <row r="473" spans="1:16">
      <c r="A473" s="164">
        <f t="shared" si="25"/>
        <v>-28</v>
      </c>
      <c r="B473" s="164">
        <f t="shared" si="12"/>
        <v>-0.53170943166147877</v>
      </c>
      <c r="C473" s="164">
        <f t="shared" si="26"/>
        <v>0.98961469430328286</v>
      </c>
      <c r="D473" s="164">
        <f t="shared" si="14"/>
        <v>1.1208079644896871</v>
      </c>
      <c r="E473" s="164">
        <f t="shared" si="27"/>
        <v>1.1281325730362959</v>
      </c>
      <c r="F473" s="164">
        <f t="shared" si="28"/>
        <v>-1.1410114945170062</v>
      </c>
      <c r="H473" s="164">
        <f t="shared" si="29"/>
        <v>1.6595298740218165</v>
      </c>
      <c r="I473" s="164">
        <f t="shared" si="18"/>
        <v>1.8795338335408636</v>
      </c>
      <c r="J473" s="164">
        <f t="shared" si="30"/>
        <v>2.4043221972017874</v>
      </c>
      <c r="K473" s="164">
        <f t="shared" si="31"/>
        <v>7.1071455731233191E-2</v>
      </c>
      <c r="M473" s="164">
        <f t="shared" si="32"/>
        <v>1.7791061414728209</v>
      </c>
      <c r="N473" s="164">
        <f t="shared" si="22"/>
        <v>2.0149623328290538</v>
      </c>
      <c r="O473" s="164">
        <f t="shared" si="33"/>
        <v>0.89579593955983905</v>
      </c>
      <c r="P473" s="164">
        <f t="shared" si="34"/>
        <v>-1.2846026293754198</v>
      </c>
    </row>
    <row r="474" spans="1:16">
      <c r="A474" s="164">
        <f t="shared" si="25"/>
        <v>-24</v>
      </c>
      <c r="B474" s="164">
        <f t="shared" si="12"/>
        <v>-0.4452286853085361</v>
      </c>
      <c r="C474" s="164">
        <f t="shared" si="26"/>
        <v>0.93776447251282535</v>
      </c>
      <c r="D474" s="164">
        <f t="shared" si="14"/>
        <v>1.026511012306625</v>
      </c>
      <c r="E474" s="164">
        <f t="shared" si="27"/>
        <v>1.0762823512458382</v>
      </c>
      <c r="F474" s="164">
        <f t="shared" si="28"/>
        <v>-1.0323436710710978</v>
      </c>
      <c r="H474" s="164">
        <f t="shared" si="29"/>
        <v>1.5154926026906355</v>
      </c>
      <c r="I474" s="164">
        <f t="shared" si="18"/>
        <v>1.6589131827127199</v>
      </c>
      <c r="J474" s="164">
        <f t="shared" si="30"/>
        <v>2.2602849258706059</v>
      </c>
      <c r="K474" s="164">
        <f t="shared" si="31"/>
        <v>0.27871836278185547</v>
      </c>
      <c r="M474" s="164">
        <f t="shared" si="32"/>
        <v>1.8592059844554427</v>
      </c>
      <c r="N474" s="164">
        <f t="shared" si="22"/>
        <v>2.0351543198004767</v>
      </c>
      <c r="O474" s="164">
        <f t="shared" si="33"/>
        <v>0.97589578254246045</v>
      </c>
      <c r="P474" s="164">
        <f t="shared" si="34"/>
        <v>-1.1664069502043191</v>
      </c>
    </row>
    <row r="475" spans="1:16">
      <c r="A475" s="164">
        <f t="shared" si="25"/>
        <v>-20</v>
      </c>
      <c r="B475" s="164">
        <f t="shared" si="12"/>
        <v>-0.36397023426620234</v>
      </c>
      <c r="C475" s="164">
        <f t="shared" si="26"/>
        <v>0.89094632540654028</v>
      </c>
      <c r="D475" s="164">
        <f t="shared" si="14"/>
        <v>0.94812527596673113</v>
      </c>
      <c r="E475" s="164">
        <f t="shared" si="27"/>
        <v>1.0294642041395532</v>
      </c>
      <c r="F475" s="164">
        <f t="shared" si="28"/>
        <v>-0.9391019706219903</v>
      </c>
      <c r="H475" s="164">
        <f t="shared" si="29"/>
        <v>1.3917573111334751</v>
      </c>
      <c r="I475" s="164">
        <f t="shared" si="18"/>
        <v>1.4810771951890864</v>
      </c>
      <c r="J475" s="164">
        <f t="shared" si="30"/>
        <v>2.1365496343134458</v>
      </c>
      <c r="K475" s="164">
        <f t="shared" si="31"/>
        <v>0.44690090729766796</v>
      </c>
      <c r="M475" s="164">
        <f t="shared" si="32"/>
        <v>1.8905708364203517</v>
      </c>
      <c r="N475" s="164">
        <f t="shared" si="22"/>
        <v>2.011903461409732</v>
      </c>
      <c r="O475" s="164">
        <f t="shared" si="33"/>
        <v>1.0072606345073698</v>
      </c>
      <c r="P475" s="164">
        <f t="shared" si="34"/>
        <v>-1.0267466242562251</v>
      </c>
    </row>
    <row r="476" spans="1:16">
      <c r="A476" s="164">
        <f t="shared" si="25"/>
        <v>-16</v>
      </c>
      <c r="B476" s="164">
        <f t="shared" si="12"/>
        <v>-0.28674538575880792</v>
      </c>
      <c r="C476" s="164">
        <f t="shared" si="26"/>
        <v>0.84862307604549114</v>
      </c>
      <c r="D476" s="164">
        <f t="shared" si="14"/>
        <v>0.8828221072692618</v>
      </c>
      <c r="E476" s="164">
        <f t="shared" si="27"/>
        <v>0.98714095477850394</v>
      </c>
      <c r="F476" s="164">
        <f t="shared" si="28"/>
        <v>-0.85816277914965022</v>
      </c>
      <c r="H476" s="164">
        <f t="shared" si="29"/>
        <v>1.28594649785795</v>
      </c>
      <c r="I476" s="164">
        <f t="shared" si="18"/>
        <v>1.3377694162698281</v>
      </c>
      <c r="J476" s="164">
        <f t="shared" si="30"/>
        <v>2.0307388210379207</v>
      </c>
      <c r="K476" s="164">
        <f t="shared" si="31"/>
        <v>0.58471991727915285</v>
      </c>
      <c r="M476" s="164">
        <f t="shared" si="32"/>
        <v>1.8743004469597979</v>
      </c>
      <c r="N476" s="164">
        <f t="shared" si="22"/>
        <v>1.9498336976074262</v>
      </c>
      <c r="O476" s="164">
        <f t="shared" si="33"/>
        <v>0.99099024504681565</v>
      </c>
      <c r="P476" s="164">
        <f t="shared" si="34"/>
        <v>-0.876082118718853</v>
      </c>
    </row>
    <row r="477" spans="1:16">
      <c r="A477" s="164">
        <f t="shared" si="25"/>
        <v>-12</v>
      </c>
      <c r="B477" s="164">
        <f t="shared" si="12"/>
        <v>-0.2125565616700221</v>
      </c>
      <c r="C477" s="164">
        <f t="shared" si="26"/>
        <v>0.81016653702214647</v>
      </c>
      <c r="D477" s="164">
        <f t="shared" si="14"/>
        <v>0.82826613939896199</v>
      </c>
      <c r="E477" s="164">
        <f t="shared" si="27"/>
        <v>0.94868441575515938</v>
      </c>
      <c r="F477" s="164">
        <f t="shared" si="28"/>
        <v>-0.78703024133469579</v>
      </c>
      <c r="H477" s="164">
        <f t="shared" si="29"/>
        <v>1.1949299104027304</v>
      </c>
      <c r="I477" s="164">
        <f t="shared" si="18"/>
        <v>1.2216253554231435</v>
      </c>
      <c r="J477" s="164">
        <f t="shared" si="30"/>
        <v>1.9397222335827009</v>
      </c>
      <c r="K477" s="164">
        <f t="shared" si="31"/>
        <v>0.69946894868074683</v>
      </c>
      <c r="M477" s="164">
        <f t="shared" si="32"/>
        <v>1.8193111337203007</v>
      </c>
      <c r="N477" s="164">
        <f t="shared" si="22"/>
        <v>1.8599556266921831</v>
      </c>
      <c r="O477" s="164">
        <f t="shared" si="33"/>
        <v>0.93600093180731869</v>
      </c>
      <c r="P477" s="164">
        <f t="shared" si="34"/>
        <v>-0.72534163321903655</v>
      </c>
    </row>
    <row r="478" spans="1:16">
      <c r="A478" s="164">
        <f t="shared" si="25"/>
        <v>-8</v>
      </c>
      <c r="B478" s="164">
        <f t="shared" si="12"/>
        <v>-0.14054083470239145</v>
      </c>
      <c r="C478" s="164">
        <f t="shared" si="26"/>
        <v>0.77497198170249459</v>
      </c>
      <c r="D478" s="164">
        <f t="shared" si="14"/>
        <v>0.782588075052573</v>
      </c>
      <c r="E478" s="164">
        <f t="shared" si="27"/>
        <v>0.91348986043550751</v>
      </c>
      <c r="F478" s="164">
        <f t="shared" si="28"/>
        <v>-0.72373923702459464</v>
      </c>
      <c r="H478" s="164">
        <f t="shared" si="29"/>
        <v>1.1158292946969839</v>
      </c>
      <c r="I478" s="164">
        <f t="shared" si="18"/>
        <v>1.126795188009017</v>
      </c>
      <c r="J478" s="164">
        <f t="shared" si="30"/>
        <v>1.8606216178769546</v>
      </c>
      <c r="K478" s="164">
        <f t="shared" si="31"/>
        <v>0.79663956141052383</v>
      </c>
      <c r="M478" s="164">
        <f t="shared" si="32"/>
        <v>1.73798605837528</v>
      </c>
      <c r="N478" s="164">
        <f t="shared" si="22"/>
        <v>1.7550662424003103</v>
      </c>
      <c r="O478" s="164">
        <f t="shared" si="33"/>
        <v>0.85467585646229793</v>
      </c>
      <c r="P478" s="164">
        <f t="shared" si="34"/>
        <v>-0.58289312537264071</v>
      </c>
    </row>
    <row r="479" spans="1:16">
      <c r="A479" s="164">
        <f t="shared" si="25"/>
        <v>-4</v>
      </c>
      <c r="B479" s="164">
        <f t="shared" si="12"/>
        <v>-6.9926811943510414E-2</v>
      </c>
      <c r="C479" s="164">
        <f t="shared" si="26"/>
        <v>0.74249798301033243</v>
      </c>
      <c r="D479" s="164">
        <f t="shared" si="14"/>
        <v>0.74431108741031948</v>
      </c>
      <c r="E479" s="164">
        <f t="shared" si="27"/>
        <v>0.88101586174334523</v>
      </c>
      <c r="F479" s="164">
        <f t="shared" si="28"/>
        <v>-0.66674454467155897</v>
      </c>
      <c r="H479" s="164">
        <f t="shared" si="29"/>
        <v>1.0462578625243304</v>
      </c>
      <c r="I479" s="164">
        <f t="shared" si="18"/>
        <v>1.0488127175912396</v>
      </c>
      <c r="J479" s="164">
        <f t="shared" si="30"/>
        <v>1.7910501857043006</v>
      </c>
      <c r="K479" s="164">
        <f t="shared" si="31"/>
        <v>0.8802976650754607</v>
      </c>
      <c r="M479" s="164">
        <f t="shared" si="32"/>
        <v>1.6420100197459384</v>
      </c>
      <c r="N479" s="164">
        <f t="shared" si="22"/>
        <v>1.6460196408624213</v>
      </c>
      <c r="O479" s="164">
        <f t="shared" si="33"/>
        <v>0.75869981783295615</v>
      </c>
      <c r="P479" s="164">
        <f t="shared" si="34"/>
        <v>-0.45345563988759374</v>
      </c>
    </row>
    <row r="480" spans="1:16">
      <c r="A480" s="164">
        <f t="shared" si="25"/>
        <v>0</v>
      </c>
      <c r="B480" s="164">
        <f t="shared" si="12"/>
        <v>0</v>
      </c>
      <c r="C480" s="164">
        <f t="shared" si="26"/>
        <v>0.71227410840803607</v>
      </c>
      <c r="D480" s="164">
        <f t="shared" si="14"/>
        <v>0.71227410840803607</v>
      </c>
      <c r="E480" s="164">
        <f t="shared" si="27"/>
        <v>0.85079198714104898</v>
      </c>
      <c r="F480" s="164">
        <f t="shared" si="28"/>
        <v>-0.61482402784515966</v>
      </c>
      <c r="H480" s="164">
        <f t="shared" si="29"/>
        <v>0.9843070576628713</v>
      </c>
      <c r="I480" s="164">
        <f t="shared" si="18"/>
        <v>0.9843070576628713</v>
      </c>
      <c r="J480" s="164">
        <f t="shared" si="30"/>
        <v>1.7290993808428419</v>
      </c>
      <c r="K480" s="164">
        <f t="shared" si="31"/>
        <v>0.95345914187261871</v>
      </c>
      <c r="M480" s="164">
        <f t="shared" si="32"/>
        <v>1.5402504380225395</v>
      </c>
      <c r="N480" s="164">
        <f t="shared" si="22"/>
        <v>1.5402504380225395</v>
      </c>
      <c r="O480" s="164">
        <f t="shared" si="33"/>
        <v>0.65694023610955743</v>
      </c>
      <c r="P480" s="164">
        <f t="shared" si="34"/>
        <v>-0.33863511402745966</v>
      </c>
    </row>
    <row r="481" spans="1:16">
      <c r="A481" s="164">
        <f t="shared" si="25"/>
        <v>4</v>
      </c>
      <c r="B481" s="164">
        <f t="shared" si="12"/>
        <v>6.9926811943510414E-2</v>
      </c>
      <c r="C481" s="164">
        <f t="shared" si="26"/>
        <v>0.68389574885052207</v>
      </c>
      <c r="D481" s="164">
        <f t="shared" si="14"/>
        <v>0.68556575256736185</v>
      </c>
      <c r="E481" s="164">
        <f t="shared" si="27"/>
        <v>0.82241362758353487</v>
      </c>
      <c r="F481" s="164">
        <f t="shared" si="28"/>
        <v>-0.56700137842632303</v>
      </c>
      <c r="H481" s="164">
        <f t="shared" si="29"/>
        <v>0.92846624145156609</v>
      </c>
      <c r="I481" s="164">
        <f t="shared" si="18"/>
        <v>0.93073346138499968</v>
      </c>
      <c r="J481" s="164">
        <f t="shared" si="30"/>
        <v>1.6732585646315365</v>
      </c>
      <c r="K481" s="164">
        <f t="shared" si="31"/>
        <v>1.0183838261345004</v>
      </c>
      <c r="M481" s="164">
        <f t="shared" si="32"/>
        <v>1.4384802724405761</v>
      </c>
      <c r="N481" s="164">
        <f t="shared" si="22"/>
        <v>1.4419928946576526</v>
      </c>
      <c r="O481" s="164">
        <f t="shared" si="33"/>
        <v>0.55517007052759382</v>
      </c>
      <c r="P481" s="164">
        <f t="shared" si="34"/>
        <v>-0.23804677453205786</v>
      </c>
    </row>
    <row r="482" spans="1:16">
      <c r="A482" s="164">
        <f t="shared" si="25"/>
        <v>8</v>
      </c>
      <c r="B482" s="164">
        <f t="shared" si="12"/>
        <v>0.14054083470239145</v>
      </c>
      <c r="C482" s="164">
        <f t="shared" si="26"/>
        <v>0.65701459968740594</v>
      </c>
      <c r="D482" s="164">
        <f t="shared" si="14"/>
        <v>0.6634714583116248</v>
      </c>
      <c r="E482" s="164">
        <f t="shared" si="27"/>
        <v>0.79553247842041885</v>
      </c>
      <c r="F482" s="164">
        <f t="shared" si="28"/>
        <v>-0.52248664759343399</v>
      </c>
      <c r="H482" s="164">
        <f t="shared" si="29"/>
        <v>0.87753730714098988</v>
      </c>
      <c r="I482" s="164">
        <f t="shared" si="18"/>
        <v>0.88616136866471085</v>
      </c>
      <c r="J482" s="164">
        <f t="shared" si="30"/>
        <v>1.6223296303209604</v>
      </c>
      <c r="K482" s="164">
        <f t="shared" si="31"/>
        <v>1.0767889675007023</v>
      </c>
      <c r="M482" s="164">
        <f t="shared" si="32"/>
        <v>1.3399907542580958</v>
      </c>
      <c r="N482" s="164">
        <f t="shared" si="22"/>
        <v>1.3531596105698449</v>
      </c>
      <c r="O482" s="164">
        <f t="shared" si="33"/>
        <v>0.45668055234511373</v>
      </c>
      <c r="P482" s="164">
        <f t="shared" si="34"/>
        <v>-0.15031169493053981</v>
      </c>
    </row>
    <row r="483" spans="1:16">
      <c r="A483" s="164">
        <f t="shared" si="25"/>
        <v>12</v>
      </c>
      <c r="B483" s="164">
        <f t="shared" si="12"/>
        <v>0.2125565616700221</v>
      </c>
      <c r="C483" s="164">
        <f t="shared" si="26"/>
        <v>0.63132839584146605</v>
      </c>
      <c r="D483" s="164">
        <f t="shared" si="14"/>
        <v>0.64543264775974907</v>
      </c>
      <c r="E483" s="164">
        <f t="shared" si="27"/>
        <v>0.76984627457447896</v>
      </c>
      <c r="F483" s="164">
        <f t="shared" si="28"/>
        <v>-0.48063103474044699</v>
      </c>
      <c r="H483" s="164">
        <f t="shared" si="29"/>
        <v>0.8305618750239836</v>
      </c>
      <c r="I483" s="164">
        <f t="shared" si="18"/>
        <v>0.84911712138423345</v>
      </c>
      <c r="J483" s="164">
        <f t="shared" si="30"/>
        <v>1.5753541982039541</v>
      </c>
      <c r="K483" s="164">
        <f t="shared" si="31"/>
        <v>1.1300005182819233</v>
      </c>
      <c r="M483" s="164">
        <f t="shared" si="32"/>
        <v>1.2463775816041882</v>
      </c>
      <c r="N483" s="164">
        <f t="shared" si="22"/>
        <v>1.2742223982036622</v>
      </c>
      <c r="O483" s="164">
        <f t="shared" si="33"/>
        <v>0.36306737969120617</v>
      </c>
      <c r="P483" s="164">
        <f t="shared" si="34"/>
        <v>-7.3709380739076069E-2</v>
      </c>
    </row>
    <row r="484" spans="1:16">
      <c r="A484" s="164">
        <f t="shared" si="25"/>
        <v>16</v>
      </c>
      <c r="B484" s="164">
        <f t="shared" si="12"/>
        <v>0.28674538575880792</v>
      </c>
      <c r="C484" s="164">
        <f t="shared" si="26"/>
        <v>0.6065712835066539</v>
      </c>
      <c r="D484" s="164">
        <f t="shared" si="14"/>
        <v>0.63101576404181992</v>
      </c>
      <c r="E484" s="164">
        <f t="shared" si="27"/>
        <v>0.74508916223966681</v>
      </c>
      <c r="F484" s="164">
        <f t="shared" si="28"/>
        <v>-0.44089251116582895</v>
      </c>
      <c r="H484" s="164">
        <f t="shared" si="29"/>
        <v>0.78676366378982554</v>
      </c>
      <c r="I484" s="164">
        <f t="shared" si="18"/>
        <v>0.81846979559696265</v>
      </c>
      <c r="J484" s="164">
        <f t="shared" si="30"/>
        <v>1.5315559869697961</v>
      </c>
      <c r="K484" s="164">
        <f t="shared" si="31"/>
        <v>1.1790599921470453</v>
      </c>
      <c r="M484" s="164">
        <f t="shared" si="32"/>
        <v>1.1581903220723189</v>
      </c>
      <c r="N484" s="164">
        <f t="shared" si="22"/>
        <v>1.2048647386722005</v>
      </c>
      <c r="O484" s="164">
        <f t="shared" si="33"/>
        <v>0.27488012015933683</v>
      </c>
      <c r="P484" s="164">
        <f t="shared" si="34"/>
        <v>-6.5293833427146342E-3</v>
      </c>
    </row>
    <row r="485" spans="1:16">
      <c r="A485" s="164">
        <f t="shared" si="25"/>
        <v>20</v>
      </c>
      <c r="B485" s="164">
        <f t="shared" si="12"/>
        <v>0.36397023426620234</v>
      </c>
      <c r="C485" s="164">
        <f t="shared" si="26"/>
        <v>0.58250522554562312</v>
      </c>
      <c r="D485" s="164">
        <f t="shared" si="14"/>
        <v>0.61988911337671992</v>
      </c>
      <c r="E485" s="164">
        <f t="shared" si="27"/>
        <v>0.72102310427863603</v>
      </c>
      <c r="F485" s="164">
        <f t="shared" si="28"/>
        <v>-0.40280946444203219</v>
      </c>
      <c r="H485" s="164">
        <f t="shared" si="29"/>
        <v>0.74550410144140478</v>
      </c>
      <c r="I485" s="164">
        <f t="shared" si="18"/>
        <v>0.79334889404357056</v>
      </c>
      <c r="J485" s="164">
        <f t="shared" si="30"/>
        <v>1.4902964246213752</v>
      </c>
      <c r="K485" s="164">
        <f t="shared" si="31"/>
        <v>1.2248004443206615</v>
      </c>
      <c r="M485" s="164">
        <f t="shared" si="32"/>
        <v>1.0753824848847069</v>
      </c>
      <c r="N485" s="164">
        <f t="shared" si="22"/>
        <v>1.1443981373242185</v>
      </c>
      <c r="O485" s="164">
        <f t="shared" si="33"/>
        <v>0.19207228297172485</v>
      </c>
      <c r="P485" s="164">
        <f t="shared" si="34"/>
        <v>5.2772100921797849E-2</v>
      </c>
    </row>
    <row r="486" spans="1:16">
      <c r="A486" s="164">
        <f t="shared" si="25"/>
        <v>24</v>
      </c>
      <c r="B486" s="164">
        <f t="shared" si="12"/>
        <v>0.4452286853085361</v>
      </c>
      <c r="C486" s="164">
        <f t="shared" si="26"/>
        <v>0.55891241467719721</v>
      </c>
      <c r="D486" s="164">
        <f t="shared" si="14"/>
        <v>0.61180580561307552</v>
      </c>
      <c r="E486" s="164">
        <f t="shared" si="27"/>
        <v>0.69743029341021012</v>
      </c>
      <c r="F486" s="164">
        <f t="shared" si="28"/>
        <v>-0.3659801882558118</v>
      </c>
      <c r="H486" s="164">
        <f t="shared" si="29"/>
        <v>0.70624833715759971</v>
      </c>
      <c r="I486" s="164">
        <f t="shared" si="18"/>
        <v>0.77308505148727857</v>
      </c>
      <c r="J486" s="164">
        <f t="shared" si="30"/>
        <v>1.4510406603375703</v>
      </c>
      <c r="K486" s="164">
        <f t="shared" si="31"/>
        <v>1.2679011605266366</v>
      </c>
      <c r="M486" s="164">
        <f t="shared" si="32"/>
        <v>0.99759495811523169</v>
      </c>
      <c r="N486" s="164">
        <f t="shared" si="22"/>
        <v>1.0920036324076527</v>
      </c>
      <c r="O486" s="164">
        <f t="shared" si="33"/>
        <v>0.11428475620224954</v>
      </c>
      <c r="P486" s="164">
        <f t="shared" si="34"/>
        <v>0.10552277764460904</v>
      </c>
    </row>
    <row r="487" spans="1:16">
      <c r="A487" s="164">
        <f t="shared" si="25"/>
        <v>28</v>
      </c>
      <c r="B487" s="164">
        <f t="shared" si="12"/>
        <v>0.53170943166147877</v>
      </c>
      <c r="C487" s="164">
        <f t="shared" si="26"/>
        <v>0.53558849669998421</v>
      </c>
      <c r="D487" s="164">
        <f t="shared" si="14"/>
        <v>0.60659149085596742</v>
      </c>
      <c r="E487" s="164">
        <f t="shared" si="27"/>
        <v>0.67410637543299712</v>
      </c>
      <c r="F487" s="164">
        <f t="shared" si="28"/>
        <v>-0.33004657266038523</v>
      </c>
      <c r="H487" s="164">
        <f t="shared" si="29"/>
        <v>0.66853905056891283</v>
      </c>
      <c r="I487" s="164">
        <f t="shared" si="18"/>
        <v>0.75716730639043583</v>
      </c>
      <c r="J487" s="164">
        <f t="shared" si="30"/>
        <v>1.4133313737488835</v>
      </c>
      <c r="K487" s="164">
        <f t="shared" si="31"/>
        <v>1.30892766049412</v>
      </c>
      <c r="M487" s="164">
        <f t="shared" si="32"/>
        <v>0.92432358650924062</v>
      </c>
      <c r="N487" s="164">
        <f t="shared" si="22"/>
        <v>1.0468612112258453</v>
      </c>
      <c r="O487" s="164">
        <f t="shared" si="33"/>
        <v>4.1013384596258806E-2</v>
      </c>
      <c r="P487" s="164">
        <f t="shared" si="34"/>
        <v>0.15283645482666847</v>
      </c>
    </row>
    <row r="488" spans="1:16">
      <c r="A488" s="164">
        <f t="shared" si="25"/>
        <v>32</v>
      </c>
      <c r="B488" s="164">
        <f t="shared" si="12"/>
        <v>0.62486935190932746</v>
      </c>
      <c r="C488" s="164">
        <f t="shared" si="26"/>
        <v>0.51233634112175397</v>
      </c>
      <c r="D488" s="164">
        <f t="shared" si="14"/>
        <v>0.60413594870832821</v>
      </c>
      <c r="E488" s="164">
        <f t="shared" si="27"/>
        <v>0.65085421985476688</v>
      </c>
      <c r="F488" s="164">
        <f t="shared" si="28"/>
        <v>-0.29468075040881314</v>
      </c>
      <c r="H488" s="164">
        <f t="shared" si="29"/>
        <v>0.6319759514856006</v>
      </c>
      <c r="I488" s="164">
        <f t="shared" si="18"/>
        <v>0.74521239343603218</v>
      </c>
      <c r="J488" s="164">
        <f t="shared" si="30"/>
        <v>1.3767682746655712</v>
      </c>
      <c r="K488" s="164">
        <f t="shared" si="31"/>
        <v>1.3483615450997064</v>
      </c>
      <c r="M488" s="164">
        <f t="shared" si="32"/>
        <v>0.85501316498649893</v>
      </c>
      <c r="N488" s="164">
        <f t="shared" si="22"/>
        <v>1.0082130587423526</v>
      </c>
      <c r="O488" s="164">
        <f t="shared" si="33"/>
        <v>-2.829703692648311E-2</v>
      </c>
      <c r="P488" s="164">
        <f t="shared" si="34"/>
        <v>0.19563640825159684</v>
      </c>
    </row>
    <row r="489" spans="1:16">
      <c r="A489" s="164">
        <f t="shared" si="25"/>
        <v>36</v>
      </c>
      <c r="B489" s="164">
        <f t="shared" si="12"/>
        <v>0.7265425280053609</v>
      </c>
      <c r="C489" s="164">
        <f t="shared" si="26"/>
        <v>0.48896007089905164</v>
      </c>
      <c r="D489" s="164">
        <f t="shared" si="14"/>
        <v>0.60438788591434456</v>
      </c>
      <c r="E489" s="164">
        <f t="shared" si="27"/>
        <v>0.6274779496320646</v>
      </c>
      <c r="F489" s="164">
        <f t="shared" si="28"/>
        <v>-0.25957374184048215</v>
      </c>
      <c r="H489" s="164">
        <f t="shared" si="29"/>
        <v>0.5961993353995817</v>
      </c>
      <c r="I489" s="164">
        <f t="shared" si="18"/>
        <v>0.7369429066940798</v>
      </c>
      <c r="J489" s="164">
        <f t="shared" si="30"/>
        <v>1.3409916585795525</v>
      </c>
      <c r="K489" s="164">
        <f t="shared" si="31"/>
        <v>1.386623314208947</v>
      </c>
      <c r="M489" s="164">
        <f t="shared" si="32"/>
        <v>0.78910707440415007</v>
      </c>
      <c r="N489" s="164">
        <f t="shared" si="22"/>
        <v>0.97538998548951394</v>
      </c>
      <c r="O489" s="164">
        <f t="shared" si="33"/>
        <v>-9.4203127508831863E-2</v>
      </c>
      <c r="P489" s="164">
        <f t="shared" si="34"/>
        <v>0.23468473467704604</v>
      </c>
    </row>
    <row r="490" spans="1:16">
      <c r="A490" s="164">
        <f t="shared" si="25"/>
        <v>40</v>
      </c>
      <c r="B490" s="164">
        <f t="shared" si="12"/>
        <v>0.83909963117727993</v>
      </c>
      <c r="C490" s="164">
        <f t="shared" si="26"/>
        <v>0.46525904369706322</v>
      </c>
      <c r="D490" s="164">
        <f t="shared" si="14"/>
        <v>0.60735254706991149</v>
      </c>
      <c r="E490" s="164">
        <f t="shared" si="27"/>
        <v>0.60377692243007619</v>
      </c>
      <c r="F490" s="164">
        <f t="shared" si="28"/>
        <v>-0.22442533587705993</v>
      </c>
      <c r="H490" s="164">
        <f t="shared" si="29"/>
        <v>0.56087643213633298</v>
      </c>
      <c r="I490" s="164">
        <f t="shared" si="18"/>
        <v>0.73217218292545017</v>
      </c>
      <c r="J490" s="164">
        <f t="shared" si="30"/>
        <v>1.3056687553163036</v>
      </c>
      <c r="K490" s="164">
        <f t="shared" si="31"/>
        <v>1.4240903492142443</v>
      </c>
      <c r="M490" s="164">
        <f t="shared" si="32"/>
        <v>0.72607108484917982</v>
      </c>
      <c r="N490" s="164">
        <f t="shared" si="22"/>
        <v>0.94781848673551461</v>
      </c>
      <c r="O490" s="164">
        <f t="shared" si="33"/>
        <v>-0.15723911706380234</v>
      </c>
      <c r="P490" s="164">
        <f t="shared" si="34"/>
        <v>0.27061086547797458</v>
      </c>
    </row>
    <row r="491" spans="1:16">
      <c r="A491" s="164">
        <f t="shared" si="25"/>
        <v>44</v>
      </c>
      <c r="B491" s="164">
        <f t="shared" si="12"/>
        <v>0.96568877480707394</v>
      </c>
      <c r="C491" s="164">
        <f t="shared" si="26"/>
        <v>0.44102144663990528</v>
      </c>
      <c r="D491" s="164">
        <f t="shared" si="14"/>
        <v>0.61309195797630134</v>
      </c>
      <c r="E491" s="164">
        <f t="shared" si="27"/>
        <v>0.5795393253729183</v>
      </c>
      <c r="F491" s="164">
        <f t="shared" si="28"/>
        <v>-0.18893456737582615</v>
      </c>
      <c r="H491" s="164">
        <f t="shared" si="29"/>
        <v>0.52568955052350064</v>
      </c>
      <c r="I491" s="164">
        <f t="shared" si="18"/>
        <v>0.73079447331569347</v>
      </c>
      <c r="J491" s="164">
        <f t="shared" si="30"/>
        <v>1.2704818737034713</v>
      </c>
      <c r="K491" s="164">
        <f t="shared" si="31"/>
        <v>1.4611116398465396</v>
      </c>
      <c r="M491" s="164">
        <f t="shared" si="32"/>
        <v>0.6654025176672671</v>
      </c>
      <c r="N491" s="164">
        <f t="shared" si="22"/>
        <v>0.925018353431867</v>
      </c>
      <c r="O491" s="164">
        <f t="shared" si="33"/>
        <v>-0.21790768424571494</v>
      </c>
      <c r="P491" s="164">
        <f t="shared" si="34"/>
        <v>0.30393662801218585</v>
      </c>
    </row>
    <row r="492" spans="1:16">
      <c r="A492" s="164">
        <f t="shared" si="25"/>
        <v>48</v>
      </c>
      <c r="B492" s="164">
        <f t="shared" si="12"/>
        <v>1.1106125148291928</v>
      </c>
      <c r="C492" s="164">
        <f t="shared" si="26"/>
        <v>0.41601711317067669</v>
      </c>
      <c r="D492" s="164">
        <f t="shared" si="14"/>
        <v>0.62172781997594739</v>
      </c>
      <c r="E492" s="164">
        <f t="shared" si="27"/>
        <v>0.55453499190368971</v>
      </c>
      <c r="F492" s="164">
        <f t="shared" si="28"/>
        <v>-0.15279021557469352</v>
      </c>
      <c r="H492" s="164">
        <f t="shared" si="29"/>
        <v>0.49032519303388611</v>
      </c>
      <c r="I492" s="164">
        <f t="shared" si="18"/>
        <v>0.73277950279698034</v>
      </c>
      <c r="J492" s="164">
        <f t="shared" si="30"/>
        <v>1.2351175162138568</v>
      </c>
      <c r="K492" s="164">
        <f t="shared" si="31"/>
        <v>1.4980204375920922</v>
      </c>
      <c r="M492" s="164">
        <f t="shared" si="32"/>
        <v>0.60663132146811904</v>
      </c>
      <c r="N492" s="164">
        <f t="shared" si="22"/>
        <v>0.90659628434748285</v>
      </c>
      <c r="O492" s="164">
        <f t="shared" si="33"/>
        <v>-0.276678880444863</v>
      </c>
      <c r="P492" s="164">
        <f t="shared" si="34"/>
        <v>0.3350972234824045</v>
      </c>
    </row>
    <row r="493" spans="1:16">
      <c r="A493" s="164">
        <f t="shared" si="25"/>
        <v>52</v>
      </c>
      <c r="B493" s="164">
        <f t="shared" si="12"/>
        <v>1.2799416321930788</v>
      </c>
      <c r="C493" s="164">
        <f t="shared" si="26"/>
        <v>0.3899890832704741</v>
      </c>
      <c r="D493" s="164">
        <f t="shared" si="14"/>
        <v>0.63344727403024004</v>
      </c>
      <c r="E493" s="164">
        <f t="shared" si="27"/>
        <v>0.52850696200348712</v>
      </c>
      <c r="F493" s="164">
        <f t="shared" si="28"/>
        <v>-0.11566076406646647</v>
      </c>
      <c r="H493" s="164">
        <f t="shared" si="29"/>
        <v>0.45446340364138499</v>
      </c>
      <c r="I493" s="164">
        <f t="shared" si="18"/>
        <v>0.73817092973211218</v>
      </c>
      <c r="J493" s="164">
        <f t="shared" si="30"/>
        <v>1.1992557268213555</v>
      </c>
      <c r="K493" s="164">
        <f t="shared" si="31"/>
        <v>1.5351457725013951</v>
      </c>
      <c r="M493" s="164">
        <f t="shared" si="32"/>
        <v>0.54931680708198305</v>
      </c>
      <c r="N493" s="164">
        <f t="shared" si="22"/>
        <v>0.89223839577004271</v>
      </c>
      <c r="O493" s="164">
        <f t="shared" si="33"/>
        <v>-0.33399339483099899</v>
      </c>
      <c r="P493" s="164">
        <f t="shared" si="34"/>
        <v>0.36445833662014443</v>
      </c>
    </row>
    <row r="494" spans="1:16">
      <c r="A494" s="164">
        <f t="shared" si="25"/>
        <v>56</v>
      </c>
      <c r="B494" s="164">
        <f t="shared" si="12"/>
        <v>1.4825609685127403</v>
      </c>
      <c r="C494" s="164">
        <f t="shared" si="26"/>
        <v>0.36264329323131839</v>
      </c>
      <c r="D494" s="164">
        <f t="shared" si="14"/>
        <v>0.64851197320369691</v>
      </c>
      <c r="E494" s="164">
        <f t="shared" si="27"/>
        <v>0.50116117196433141</v>
      </c>
      <c r="F494" s="164">
        <f t="shared" si="28"/>
        <v>-7.7183235807486539E-2</v>
      </c>
      <c r="H494" s="164">
        <f t="shared" si="29"/>
        <v>0.41776662638896761</v>
      </c>
      <c r="I494" s="164">
        <f t="shared" si="18"/>
        <v>0.74708856960811265</v>
      </c>
      <c r="J494" s="164">
        <f t="shared" si="30"/>
        <v>1.1625589495689381</v>
      </c>
      <c r="K494" s="164">
        <f t="shared" si="31"/>
        <v>1.5728236361041468</v>
      </c>
      <c r="M494" s="164">
        <f t="shared" si="32"/>
        <v>0.49304212117115581</v>
      </c>
      <c r="N494" s="164">
        <f t="shared" si="22"/>
        <v>0.88170310837456556</v>
      </c>
      <c r="O494" s="164">
        <f t="shared" si="33"/>
        <v>-0.39026808074182623</v>
      </c>
      <c r="P494" s="164">
        <f t="shared" si="34"/>
        <v>0.39232989065362506</v>
      </c>
    </row>
    <row r="495" spans="1:16">
      <c r="A495" s="164">
        <f t="shared" si="25"/>
        <v>60</v>
      </c>
      <c r="B495" s="164">
        <f t="shared" si="12"/>
        <v>1.7320508075688767</v>
      </c>
      <c r="C495" s="164">
        <f t="shared" si="26"/>
        <v>0.3336355796739055</v>
      </c>
      <c r="D495" s="164">
        <f t="shared" si="14"/>
        <v>0.66727115934781089</v>
      </c>
      <c r="E495" s="164">
        <f t="shared" si="27"/>
        <v>0.47215345840691847</v>
      </c>
      <c r="F495" s="164">
        <f t="shared" si="28"/>
        <v>-3.6950252637261261E-2</v>
      </c>
      <c r="H495" s="164">
        <f t="shared" si="29"/>
        <v>0.37986728990735713</v>
      </c>
      <c r="I495" s="164">
        <f t="shared" si="18"/>
        <v>0.75973457981471404</v>
      </c>
      <c r="J495" s="164">
        <f t="shared" si="30"/>
        <v>1.1246596130873276</v>
      </c>
      <c r="K495" s="164">
        <f t="shared" si="31"/>
        <v>1.6114085881256572</v>
      </c>
      <c r="M495" s="164">
        <f t="shared" si="32"/>
        <v>0.43740756305319212</v>
      </c>
      <c r="N495" s="164">
        <f t="shared" si="22"/>
        <v>0.87481512610638401</v>
      </c>
      <c r="O495" s="164">
        <f t="shared" si="33"/>
        <v>-0.44590263885978992</v>
      </c>
      <c r="P495" s="164">
        <f t="shared" si="34"/>
        <v>0.41897700879555616</v>
      </c>
    </row>
    <row r="496" spans="1:16">
      <c r="A496" s="164">
        <f t="shared" si="25"/>
        <v>64</v>
      </c>
      <c r="B496" s="164">
        <f t="shared" si="12"/>
        <v>2.050303841579296</v>
      </c>
      <c r="C496" s="164">
        <f t="shared" si="26"/>
        <v>0.30255488843354311</v>
      </c>
      <c r="D496" s="164">
        <f t="shared" si="14"/>
        <v>0.69017974985273733</v>
      </c>
      <c r="E496" s="164">
        <f t="shared" si="27"/>
        <v>0.44107276716655597</v>
      </c>
      <c r="F496" s="164">
        <f t="shared" si="28"/>
        <v>5.5054221987290708E-3</v>
      </c>
      <c r="H496" s="164">
        <f t="shared" si="29"/>
        <v>0.34035318253590208</v>
      </c>
      <c r="I496" s="164">
        <f t="shared" si="18"/>
        <v>0.77640416124299172</v>
      </c>
      <c r="J496" s="164">
        <f t="shared" si="30"/>
        <v>1.0851455057158725</v>
      </c>
      <c r="K496" s="164">
        <f t="shared" si="31"/>
        <v>1.6512865795197182</v>
      </c>
      <c r="M496" s="164">
        <f t="shared" si="32"/>
        <v>0.38202328072969172</v>
      </c>
      <c r="N496" s="164">
        <f t="shared" si="22"/>
        <v>0.87146082384272983</v>
      </c>
      <c r="O496" s="164">
        <f t="shared" si="33"/>
        <v>-0.50128692118329032</v>
      </c>
      <c r="P496" s="164">
        <f t="shared" si="34"/>
        <v>0.44462868602535305</v>
      </c>
    </row>
    <row r="497" spans="1:16">
      <c r="A497" s="164">
        <f t="shared" si="25"/>
        <v>68</v>
      </c>
      <c r="B497" s="164">
        <f t="shared" si="12"/>
        <v>2.4750868534162964</v>
      </c>
      <c r="C497" s="164">
        <f t="shared" si="26"/>
        <v>0.26890115751024485</v>
      </c>
      <c r="D497" s="164">
        <f t="shared" si="14"/>
        <v>0.71782280994636349</v>
      </c>
      <c r="E497" s="164">
        <f t="shared" si="27"/>
        <v>0.40741903624325781</v>
      </c>
      <c r="F497" s="164">
        <f t="shared" si="28"/>
        <v>5.072969197687216E-2</v>
      </c>
      <c r="H497" s="164">
        <f t="shared" si="29"/>
        <v>0.29874941860157511</v>
      </c>
      <c r="I497" s="164">
        <f t="shared" si="18"/>
        <v>0.79750176278900831</v>
      </c>
      <c r="J497" s="164">
        <f t="shared" si="30"/>
        <v>1.0435417417815458</v>
      </c>
      <c r="K497" s="164">
        <f t="shared" si="31"/>
        <v>1.6928899003191393</v>
      </c>
      <c r="M497" s="164">
        <f t="shared" si="32"/>
        <v>0.3265015496502312</v>
      </c>
      <c r="N497" s="164">
        <f t="shared" si="22"/>
        <v>0.87158516531429142</v>
      </c>
      <c r="O497" s="164">
        <f t="shared" si="33"/>
        <v>-0.55680865226275089</v>
      </c>
      <c r="P497" s="164">
        <f t="shared" si="34"/>
        <v>0.46948457913187575</v>
      </c>
    </row>
    <row r="498" spans="1:16">
      <c r="A498" s="164">
        <f t="shared" si="25"/>
        <v>72</v>
      </c>
      <c r="B498" s="164">
        <f t="shared" si="12"/>
        <v>3.0776835371752527</v>
      </c>
      <c r="C498" s="164">
        <f t="shared" si="26"/>
        <v>0.23205575336736561</v>
      </c>
      <c r="D498" s="164">
        <f t="shared" si="14"/>
        <v>0.75094819246672062</v>
      </c>
      <c r="E498" s="164">
        <f t="shared" si="27"/>
        <v>0.37057363210037852</v>
      </c>
      <c r="F498" s="164">
        <f t="shared" si="28"/>
        <v>9.9370144000382132E-2</v>
      </c>
      <c r="H498" s="164">
        <f t="shared" si="29"/>
        <v>0.25449537510252668</v>
      </c>
      <c r="I498" s="164">
        <f t="shared" si="18"/>
        <v>0.82356433379108362</v>
      </c>
      <c r="J498" s="164">
        <f t="shared" si="30"/>
        <v>0.99928769828249719</v>
      </c>
      <c r="K498" s="164">
        <f t="shared" si="31"/>
        <v>1.7367153681129057</v>
      </c>
      <c r="M498" s="164">
        <f t="shared" si="32"/>
        <v>0.27044864113038969</v>
      </c>
      <c r="N498" s="164">
        <f t="shared" si="22"/>
        <v>0.87519018712038643</v>
      </c>
      <c r="O498" s="164">
        <f t="shared" si="33"/>
        <v>-0.61286156078259235</v>
      </c>
      <c r="P498" s="164">
        <f t="shared" si="34"/>
        <v>0.49372021643095859</v>
      </c>
    </row>
    <row r="499" spans="1:16">
      <c r="A499" s="164">
        <f t="shared" si="25"/>
        <v>76</v>
      </c>
      <c r="B499" s="164">
        <f t="shared" ref="B499:B525" si="35">TAN(A499*PI()/180)</f>
        <v>4.010780933535842</v>
      </c>
      <c r="C499" s="164">
        <f t="shared" ref="C499:C525" si="36">$B$431/(SQRT(1/(1-$C$177^2)*(1/$E$177+B499^2/$F$178-2*$C$177*B499/SQRT($E$177*$F$178))))</f>
        <v>0.19124154850872152</v>
      </c>
      <c r="D499" s="164">
        <f t="shared" ref="D499:D525" si="37">C499*SQRT(B499^2+1)</f>
        <v>0.79050946601868499</v>
      </c>
      <c r="E499" s="164">
        <f t="shared" ref="E499:E525" si="38">D499*COS(A499*PI()/180)+$C$166</f>
        <v>0.32975942724173446</v>
      </c>
      <c r="F499" s="164">
        <f t="shared" ref="F499:F525" si="39">D499*SIN(A499*PI()/180)+$D$166</f>
        <v>0.15220392861349041</v>
      </c>
      <c r="H499" s="164">
        <f t="shared" ref="H499:H525" si="40">$B$431/(SQRT(1/(1-$C$180^2)*(1/$E$180+B499^2/$F$181-2*$C$180*B499/SQRT($E$180*$F$181))))</f>
        <v>0.20691432915281396</v>
      </c>
      <c r="I499" s="164">
        <f t="shared" ref="I499:I525" si="41">H499*SQRT(B499^2+1)</f>
        <v>0.85529393129101305</v>
      </c>
      <c r="J499" s="164">
        <f t="shared" ref="J499:J525" si="42">I499*COS(A499*PI()/180)+$C$167</f>
        <v>0.95170665233278462</v>
      </c>
      <c r="K499" s="164">
        <f t="shared" ref="K499:K525" si="43">I499*SIN(A499*PI()/180)+$D$167</f>
        <v>1.7833471881140843</v>
      </c>
      <c r="M499" s="164">
        <f t="shared" ref="M499:M525" si="44">$B$431/(SQRT(1/(1-$C$183^2)*(1/$E$183+B499^2/$F$184-2*$C$183*B499/SQRT($E$183*$F$184))))</f>
        <v>0.21345616907893963</v>
      </c>
      <c r="N499" s="164">
        <f t="shared" ref="N499:N525" si="45">M499*SQRT(B499^2+1)</f>
        <v>0.88233505507978782</v>
      </c>
      <c r="O499" s="164">
        <f t="shared" ref="O499:O525" si="46">N499*COS(A499*PI()/180)+$C$168</f>
        <v>-0.66985403283404232</v>
      </c>
      <c r="P499" s="164">
        <f t="shared" ref="P499:P525" si="47">N499*SIN(A499*PI()/180)+$D$168</f>
        <v>0.51749081905995431</v>
      </c>
    </row>
    <row r="500" spans="1:16">
      <c r="A500" s="164">
        <f t="shared" ref="A500:A525" si="48">A499+$A$431</f>
        <v>80</v>
      </c>
      <c r="B500" s="164">
        <f t="shared" si="35"/>
        <v>5.6712818196177066</v>
      </c>
      <c r="C500" s="164">
        <f t="shared" si="36"/>
        <v>0.14546876101420486</v>
      </c>
      <c r="D500" s="164">
        <f t="shared" si="37"/>
        <v>0.83772120714807785</v>
      </c>
      <c r="E500" s="164">
        <f t="shared" si="38"/>
        <v>0.28398663974721777</v>
      </c>
      <c r="F500" s="164">
        <f t="shared" si="39"/>
        <v>0.2101703118170134</v>
      </c>
      <c r="H500" s="164">
        <f t="shared" si="40"/>
        <v>0.15517254137776446</v>
      </c>
      <c r="I500" s="164">
        <f t="shared" si="41"/>
        <v>0.89360305108065352</v>
      </c>
      <c r="J500" s="164">
        <f t="shared" si="42"/>
        <v>0.89996486455773494</v>
      </c>
      <c r="K500" s="164">
        <f t="shared" si="43"/>
        <v>1.8334863546922104</v>
      </c>
      <c r="M500" s="164">
        <f t="shared" si="44"/>
        <v>0.15509173276207761</v>
      </c>
      <c r="N500" s="164">
        <f t="shared" si="45"/>
        <v>0.89313769280985245</v>
      </c>
      <c r="O500" s="164">
        <f t="shared" si="46"/>
        <v>-0.72821846915090449</v>
      </c>
      <c r="P500" s="164">
        <f t="shared" si="47"/>
        <v>0.54093381035911881</v>
      </c>
    </row>
    <row r="501" spans="1:16">
      <c r="A501" s="164">
        <f t="shared" si="48"/>
        <v>84</v>
      </c>
      <c r="B501" s="164">
        <f t="shared" si="35"/>
        <v>9.5143644542225871</v>
      </c>
      <c r="C501" s="164">
        <f t="shared" si="36"/>
        <v>9.3461768406406923E-2</v>
      </c>
      <c r="D501" s="164">
        <f t="shared" si="37"/>
        <v>0.89412745088474721</v>
      </c>
      <c r="E501" s="164">
        <f t="shared" si="38"/>
        <v>0.23197964713941988</v>
      </c>
      <c r="F501" s="164">
        <f t="shared" si="39"/>
        <v>0.27440529930954183</v>
      </c>
      <c r="H501" s="164">
        <f t="shared" si="40"/>
        <v>9.8223048274331329E-2</v>
      </c>
      <c r="I501" s="164">
        <f t="shared" si="41"/>
        <v>0.9396775309211558</v>
      </c>
      <c r="J501" s="164">
        <f t="shared" si="42"/>
        <v>0.84301537145430194</v>
      </c>
      <c r="K501" s="164">
        <f t="shared" si="43"/>
        <v>1.8879890209593058</v>
      </c>
      <c r="M501" s="164">
        <f t="shared" si="44"/>
        <v>9.4888636742227569E-2</v>
      </c>
      <c r="N501" s="164">
        <f t="shared" si="45"/>
        <v>0.90777797526074455</v>
      </c>
      <c r="O501" s="164">
        <f t="shared" si="46"/>
        <v>-0.78842156517075446</v>
      </c>
      <c r="P501" s="164">
        <f t="shared" si="47"/>
        <v>0.56416995850242957</v>
      </c>
    </row>
    <row r="502" spans="1:16">
      <c r="A502" s="164">
        <f t="shared" si="48"/>
        <v>88</v>
      </c>
      <c r="B502" s="164">
        <f t="shared" si="35"/>
        <v>28.636253282915515</v>
      </c>
      <c r="C502" s="164">
        <f t="shared" si="36"/>
        <v>3.356212720904473E-2</v>
      </c>
      <c r="D502" s="164">
        <f t="shared" si="37"/>
        <v>0.96167940458119827</v>
      </c>
      <c r="E502" s="164">
        <f t="shared" si="38"/>
        <v>0.17208000594205766</v>
      </c>
      <c r="F502" s="164">
        <f t="shared" si="39"/>
        <v>0.34626954762647566</v>
      </c>
      <c r="H502" s="164">
        <f t="shared" si="40"/>
        <v>3.4727228343887646E-2</v>
      </c>
      <c r="I502" s="164">
        <f t="shared" si="41"/>
        <v>0.99506387269472896</v>
      </c>
      <c r="J502" s="164">
        <f t="shared" si="42"/>
        <v>0.77951955152385821</v>
      </c>
      <c r="K502" s="164">
        <f t="shared" si="43"/>
        <v>1.9479168485418281</v>
      </c>
      <c r="M502" s="164">
        <f t="shared" si="44"/>
        <v>3.2334469114219319E-2</v>
      </c>
      <c r="N502" s="164">
        <f t="shared" si="45"/>
        <v>0.92650244758120148</v>
      </c>
      <c r="O502" s="164">
        <f t="shared" si="46"/>
        <v>-0.85097573279876271</v>
      </c>
      <c r="P502" s="164">
        <f t="shared" si="47"/>
        <v>0.58730293329593364</v>
      </c>
    </row>
    <row r="503" spans="1:16">
      <c r="A503" s="164">
        <f t="shared" si="48"/>
        <v>92</v>
      </c>
      <c r="B503" s="164">
        <f t="shared" si="35"/>
        <v>-28.636253282915796</v>
      </c>
      <c r="C503" s="164">
        <f t="shared" si="36"/>
        <v>3.6393371764455444E-2</v>
      </c>
      <c r="D503" s="164">
        <f t="shared" si="37"/>
        <v>1.0428050603333676</v>
      </c>
      <c r="E503" s="164">
        <f t="shared" si="38"/>
        <v>0.10212450696855749</v>
      </c>
      <c r="F503" s="164">
        <f t="shared" si="39"/>
        <v>0.42734578382110266</v>
      </c>
      <c r="H503" s="164">
        <f t="shared" si="40"/>
        <v>3.7055946871229199E-2</v>
      </c>
      <c r="I503" s="164">
        <f t="shared" si="41"/>
        <v>1.0617902942014044</v>
      </c>
      <c r="J503" s="164">
        <f t="shared" si="42"/>
        <v>0.70773637630874142</v>
      </c>
      <c r="K503" s="164">
        <f t="shared" si="43"/>
        <v>2.0146026221154094</v>
      </c>
      <c r="M503" s="164">
        <f t="shared" si="44"/>
        <v>3.31416243504205E-2</v>
      </c>
      <c r="N503" s="164">
        <f t="shared" si="45"/>
        <v>0.94963043831075433</v>
      </c>
      <c r="O503" s="164">
        <f t="shared" si="46"/>
        <v>-0.91645182626340249</v>
      </c>
      <c r="P503" s="164">
        <f t="shared" si="47"/>
        <v>0.61041683507843159</v>
      </c>
    </row>
    <row r="504" spans="1:16">
      <c r="A504" s="164">
        <f t="shared" si="48"/>
        <v>96</v>
      </c>
      <c r="B504" s="164">
        <f t="shared" si="35"/>
        <v>-9.5143644542225978</v>
      </c>
      <c r="C504" s="164">
        <f t="shared" si="36"/>
        <v>0.11920616313346463</v>
      </c>
      <c r="D504" s="164">
        <f t="shared" si="37"/>
        <v>1.1404182115279731</v>
      </c>
      <c r="E504" s="164">
        <f t="shared" si="38"/>
        <v>1.9311715599548293E-2</v>
      </c>
      <c r="F504" s="164">
        <f t="shared" si="39"/>
        <v>0.51934685339613662</v>
      </c>
      <c r="H504" s="164">
        <f t="shared" si="40"/>
        <v>0.11942722779110031</v>
      </c>
      <c r="I504" s="164">
        <f t="shared" si="41"/>
        <v>1.1425330867564516</v>
      </c>
      <c r="J504" s="164">
        <f t="shared" si="42"/>
        <v>0.6253650953888702</v>
      </c>
      <c r="K504" s="164">
        <f t="shared" si="43"/>
        <v>2.0897333128346087</v>
      </c>
      <c r="M504" s="164">
        <f t="shared" si="44"/>
        <v>0.10218297310111973</v>
      </c>
      <c r="N504" s="164">
        <f t="shared" si="45"/>
        <v>0.97756122980084592</v>
      </c>
      <c r="O504" s="164">
        <f t="shared" si="46"/>
        <v>-0.98549317501410183</v>
      </c>
      <c r="P504" s="164">
        <f t="shared" si="47"/>
        <v>0.6335709330726178</v>
      </c>
    </row>
    <row r="505" spans="1:16">
      <c r="A505" s="164">
        <f t="shared" si="48"/>
        <v>100</v>
      </c>
      <c r="B505" s="164">
        <f t="shared" si="35"/>
        <v>-5.6712818196177111</v>
      </c>
      <c r="C505" s="164">
        <f t="shared" si="36"/>
        <v>0.21840224357926644</v>
      </c>
      <c r="D505" s="164">
        <f t="shared" si="37"/>
        <v>1.2577283937766259</v>
      </c>
      <c r="E505" s="164">
        <f t="shared" si="38"/>
        <v>-7.9884364846253469E-2</v>
      </c>
      <c r="F505" s="164">
        <f t="shared" si="39"/>
        <v>0.62379664552965297</v>
      </c>
      <c r="H505" s="164">
        <f t="shared" si="40"/>
        <v>0.21546947450412876</v>
      </c>
      <c r="I505" s="164">
        <f t="shared" si="41"/>
        <v>1.2408392497928467</v>
      </c>
      <c r="J505" s="164">
        <f t="shared" si="42"/>
        <v>0.52932284867584189</v>
      </c>
      <c r="K505" s="164">
        <f t="shared" si="43"/>
        <v>2.1754472553104658</v>
      </c>
      <c r="M505" s="164">
        <f t="shared" si="44"/>
        <v>0.17552037086964953</v>
      </c>
      <c r="N505" s="164">
        <f t="shared" si="45"/>
        <v>1.0107815309545616</v>
      </c>
      <c r="O505" s="164">
        <f t="shared" si="46"/>
        <v>-1.0588305727826315</v>
      </c>
      <c r="P505" s="164">
        <f t="shared" si="47"/>
        <v>0.6567903742581418</v>
      </c>
    </row>
    <row r="506" spans="1:16">
      <c r="A506" s="164">
        <f t="shared" si="48"/>
        <v>104</v>
      </c>
      <c r="B506" s="164">
        <f t="shared" si="35"/>
        <v>-4.0107809335358438</v>
      </c>
      <c r="C506" s="164">
        <f t="shared" si="36"/>
        <v>0.33809037000106074</v>
      </c>
      <c r="D506" s="164">
        <f t="shared" si="37"/>
        <v>1.397518687438414</v>
      </c>
      <c r="E506" s="164">
        <f t="shared" si="38"/>
        <v>-0.1995724912680478</v>
      </c>
      <c r="F506" s="164">
        <f t="shared" si="39"/>
        <v>0.74118238196717356</v>
      </c>
      <c r="H506" s="164">
        <f t="shared" si="40"/>
        <v>0.32935344812471584</v>
      </c>
      <c r="I506" s="164">
        <f t="shared" si="41"/>
        <v>1.3614040486427477</v>
      </c>
      <c r="J506" s="164">
        <f t="shared" si="42"/>
        <v>0.41543887505525473</v>
      </c>
      <c r="K506" s="164">
        <f t="shared" si="43"/>
        <v>2.2744236720055158</v>
      </c>
      <c r="M506" s="164">
        <f t="shared" si="44"/>
        <v>0.25398695113253444</v>
      </c>
      <c r="N506" s="164">
        <f t="shared" si="45"/>
        <v>1.0498716972391451</v>
      </c>
      <c r="O506" s="164">
        <f t="shared" si="46"/>
        <v>-1.1372971530455165</v>
      </c>
      <c r="P506" s="164">
        <f t="shared" si="47"/>
        <v>0.6800509069418097</v>
      </c>
    </row>
    <row r="507" spans="1:16">
      <c r="A507" s="164">
        <f t="shared" si="48"/>
        <v>108</v>
      </c>
      <c r="B507" s="164">
        <f t="shared" si="35"/>
        <v>-3.077683537175254</v>
      </c>
      <c r="C507" s="164">
        <f t="shared" si="36"/>
        <v>0.48212319572879536</v>
      </c>
      <c r="D507" s="164">
        <f t="shared" si="37"/>
        <v>1.5601834349078183</v>
      </c>
      <c r="E507" s="164">
        <f t="shared" si="38"/>
        <v>-0.34360531699578234</v>
      </c>
      <c r="F507" s="164">
        <f t="shared" si="39"/>
        <v>0.86899859453967665</v>
      </c>
      <c r="H507" s="164">
        <f t="shared" si="40"/>
        <v>0.46672408287017081</v>
      </c>
      <c r="I507" s="164">
        <f t="shared" si="41"/>
        <v>1.5103508589041181</v>
      </c>
      <c r="J507" s="164">
        <f t="shared" si="42"/>
        <v>0.27806824030979982</v>
      </c>
      <c r="K507" s="164">
        <f t="shared" si="43"/>
        <v>2.3898881681253625</v>
      </c>
      <c r="M507" s="164">
        <f t="shared" si="44"/>
        <v>0.33853048557310195</v>
      </c>
      <c r="N507" s="164">
        <f t="shared" si="45"/>
        <v>1.0955076637705699</v>
      </c>
      <c r="O507" s="164">
        <f t="shared" si="46"/>
        <v>-1.2218406874860839</v>
      </c>
      <c r="P507" s="164">
        <f t="shared" si="47"/>
        <v>0.70325458825282094</v>
      </c>
    </row>
    <row r="508" spans="1:16">
      <c r="A508" s="164">
        <f t="shared" si="48"/>
        <v>112</v>
      </c>
      <c r="B508" s="164">
        <f t="shared" si="35"/>
        <v>-2.4750868534162955</v>
      </c>
      <c r="C508" s="164">
        <f t="shared" si="36"/>
        <v>0.65158520673431974</v>
      </c>
      <c r="D508" s="164">
        <f t="shared" si="37"/>
        <v>1.7393853129832351</v>
      </c>
      <c r="E508" s="164">
        <f t="shared" si="38"/>
        <v>-0.51306732800130683</v>
      </c>
      <c r="F508" s="164">
        <f t="shared" si="39"/>
        <v>0.99790595122349413</v>
      </c>
      <c r="H508" s="164">
        <f t="shared" si="40"/>
        <v>0.63506697185577732</v>
      </c>
      <c r="I508" s="164">
        <f t="shared" si="41"/>
        <v>1.6952904273916116</v>
      </c>
      <c r="J508" s="164">
        <f t="shared" si="42"/>
        <v>0.10972535132419337</v>
      </c>
      <c r="K508" s="164">
        <f t="shared" si="43"/>
        <v>2.5253050549517497</v>
      </c>
      <c r="M508" s="164">
        <f t="shared" si="44"/>
        <v>0.43021802742292403</v>
      </c>
      <c r="N508" s="164">
        <f t="shared" si="45"/>
        <v>1.148452896944258</v>
      </c>
      <c r="O508" s="164">
        <f t="shared" si="46"/>
        <v>-1.3135282293359061</v>
      </c>
      <c r="P508" s="164">
        <f t="shared" si="47"/>
        <v>0.72619186974971095</v>
      </c>
    </row>
    <row r="509" spans="1:16">
      <c r="A509" s="164">
        <f t="shared" si="48"/>
        <v>116</v>
      </c>
      <c r="B509" s="164">
        <f t="shared" si="35"/>
        <v>-2.0503038415792956</v>
      </c>
      <c r="C509" s="164">
        <f t="shared" si="36"/>
        <v>0.83943918987417432</v>
      </c>
      <c r="D509" s="164">
        <f t="shared" si="37"/>
        <v>1.9149052030973903</v>
      </c>
      <c r="E509" s="164">
        <f t="shared" si="38"/>
        <v>-0.70092131114116152</v>
      </c>
      <c r="F509" s="164">
        <f t="shared" si="39"/>
        <v>1.1062813679260719</v>
      </c>
      <c r="H509" s="164">
        <f t="shared" si="40"/>
        <v>0.84361411615860549</v>
      </c>
      <c r="I509" s="164">
        <f t="shared" si="41"/>
        <v>1.9244289281760392</v>
      </c>
      <c r="J509" s="164">
        <f t="shared" si="42"/>
        <v>-9.8821792978635026E-2</v>
      </c>
      <c r="K509" s="164">
        <f t="shared" si="43"/>
        <v>2.68312440504313</v>
      </c>
      <c r="M509" s="164">
        <f t="shared" si="44"/>
        <v>0.53022306273997233</v>
      </c>
      <c r="N509" s="164">
        <f t="shared" si="45"/>
        <v>1.2095300218175387</v>
      </c>
      <c r="O509" s="164">
        <f t="shared" si="46"/>
        <v>-1.4135332646529544</v>
      </c>
      <c r="P509" s="164">
        <f t="shared" si="47"/>
        <v>0.74848326840224555</v>
      </c>
    </row>
    <row r="510" spans="1:16">
      <c r="A510" s="164">
        <f t="shared" si="48"/>
        <v>120</v>
      </c>
      <c r="B510" s="164">
        <f t="shared" si="35"/>
        <v>-1.7320508075688783</v>
      </c>
      <c r="C510" s="164">
        <f t="shared" si="36"/>
        <v>1.023832758103197</v>
      </c>
      <c r="D510" s="164">
        <f t="shared" si="37"/>
        <v>2.0476655162063948</v>
      </c>
      <c r="E510" s="164">
        <f t="shared" si="38"/>
        <v>-0.88531487937018405</v>
      </c>
      <c r="F510" s="164">
        <f t="shared" si="39"/>
        <v>1.1585063276429546</v>
      </c>
      <c r="H510" s="164">
        <f t="shared" si="40"/>
        <v>1.1013296072315466</v>
      </c>
      <c r="I510" s="164">
        <f t="shared" si="41"/>
        <v>2.2026592144630941</v>
      </c>
      <c r="J510" s="164">
        <f t="shared" si="42"/>
        <v>-0.35653728405157603</v>
      </c>
      <c r="K510" s="164">
        <f t="shared" si="43"/>
        <v>2.8610179774775344</v>
      </c>
      <c r="M510" s="164">
        <f t="shared" si="44"/>
        <v>0.63977699006861943</v>
      </c>
      <c r="N510" s="164">
        <f t="shared" si="45"/>
        <v>1.2795539801372395</v>
      </c>
      <c r="O510" s="164">
        <f t="shared" si="46"/>
        <v>-1.5230871919816016</v>
      </c>
      <c r="P510" s="164">
        <f t="shared" si="47"/>
        <v>0.76949113828487881</v>
      </c>
    </row>
    <row r="511" spans="1:16">
      <c r="A511" s="164">
        <f t="shared" si="48"/>
        <v>124</v>
      </c>
      <c r="B511" s="164">
        <f t="shared" si="35"/>
        <v>-1.4825609685127408</v>
      </c>
      <c r="C511" s="164">
        <f t="shared" si="36"/>
        <v>1.1697027988517568</v>
      </c>
      <c r="D511" s="164">
        <f t="shared" si="37"/>
        <v>2.0917697481347739</v>
      </c>
      <c r="E511" s="164">
        <f t="shared" si="38"/>
        <v>-1.0311849201187437</v>
      </c>
      <c r="F511" s="164">
        <f t="shared" si="39"/>
        <v>1.1193316864925644</v>
      </c>
      <c r="H511" s="164">
        <f t="shared" si="40"/>
        <v>1.4091757878772031</v>
      </c>
      <c r="I511" s="164">
        <f t="shared" si="41"/>
        <v>2.5200172948026727</v>
      </c>
      <c r="J511" s="164">
        <f t="shared" si="42"/>
        <v>-0.66438346469723253</v>
      </c>
      <c r="K511" s="164">
        <f t="shared" si="43"/>
        <v>3.0426481627525495</v>
      </c>
      <c r="M511" s="164">
        <f t="shared" si="44"/>
        <v>0.76005294127877576</v>
      </c>
      <c r="N511" s="164">
        <f t="shared" si="45"/>
        <v>1.3591963284250383</v>
      </c>
      <c r="O511" s="164">
        <f t="shared" si="46"/>
        <v>-1.6433631431917579</v>
      </c>
      <c r="P511" s="164">
        <f t="shared" si="47"/>
        <v>0.78818971071575938</v>
      </c>
    </row>
    <row r="512" spans="1:16">
      <c r="A512" s="164">
        <f t="shared" si="48"/>
        <v>128</v>
      </c>
      <c r="B512" s="164">
        <f t="shared" si="35"/>
        <v>-1.2799416321930788</v>
      </c>
      <c r="C512" s="164">
        <f t="shared" si="36"/>
        <v>1.2487963981066366</v>
      </c>
      <c r="D512" s="164">
        <f t="shared" si="37"/>
        <v>2.0283815833142351</v>
      </c>
      <c r="E512" s="164">
        <f t="shared" si="38"/>
        <v>-1.1102785193736235</v>
      </c>
      <c r="F512" s="164">
        <f t="shared" si="39"/>
        <v>0.98356247222428672</v>
      </c>
      <c r="H512" s="164">
        <f t="shared" si="40"/>
        <v>1.7411257546495134</v>
      </c>
      <c r="I512" s="164">
        <f t="shared" si="41"/>
        <v>2.8280570157951384</v>
      </c>
      <c r="J512" s="164">
        <f t="shared" si="42"/>
        <v>-0.99633343146954279</v>
      </c>
      <c r="K512" s="164">
        <f t="shared" si="43"/>
        <v>3.1819984821321228</v>
      </c>
      <c r="M512" s="164">
        <f t="shared" si="44"/>
        <v>0.89192937033779052</v>
      </c>
      <c r="N512" s="164">
        <f t="shared" si="45"/>
        <v>1.4487334453824621</v>
      </c>
      <c r="O512" s="164">
        <f t="shared" si="46"/>
        <v>-1.7752395722507726</v>
      </c>
      <c r="P512" s="164">
        <f t="shared" si="47"/>
        <v>0.80298242004363707</v>
      </c>
    </row>
    <row r="513" spans="1:16">
      <c r="A513" s="164">
        <f t="shared" si="48"/>
        <v>132</v>
      </c>
      <c r="B513" s="164">
        <f t="shared" si="35"/>
        <v>-1.1106125148291928</v>
      </c>
      <c r="C513" s="164">
        <f t="shared" si="36"/>
        <v>1.2606343226574213</v>
      </c>
      <c r="D513" s="164">
        <f t="shared" si="37"/>
        <v>1.8839884331659709</v>
      </c>
      <c r="E513" s="164">
        <f t="shared" si="38"/>
        <v>-1.1221164439244082</v>
      </c>
      <c r="F513" s="164">
        <f t="shared" si="39"/>
        <v>0.78525222752139523</v>
      </c>
      <c r="H513" s="164">
        <f t="shared" si="40"/>
        <v>2.0226804098670605</v>
      </c>
      <c r="I513" s="164">
        <f t="shared" si="41"/>
        <v>3.022848440416857</v>
      </c>
      <c r="J513" s="164">
        <f t="shared" si="42"/>
        <v>-1.2778880866870899</v>
      </c>
      <c r="K513" s="164">
        <f t="shared" si="43"/>
        <v>3.199873318570817</v>
      </c>
      <c r="M513" s="164">
        <f t="shared" si="44"/>
        <v>1.0355565821812811</v>
      </c>
      <c r="N513" s="164">
        <f t="shared" si="45"/>
        <v>1.5476150281278671</v>
      </c>
      <c r="O513" s="164">
        <f t="shared" si="46"/>
        <v>-1.9188667840942633</v>
      </c>
      <c r="P513" s="164">
        <f t="shared" si="47"/>
        <v>0.81146698595681666</v>
      </c>
    </row>
    <row r="514" spans="1:16">
      <c r="A514" s="164">
        <f t="shared" si="48"/>
        <v>136</v>
      </c>
      <c r="B514" s="164">
        <f t="shared" si="35"/>
        <v>-0.96568877480707371</v>
      </c>
      <c r="C514" s="164">
        <f t="shared" si="36"/>
        <v>1.2267420777069353</v>
      </c>
      <c r="D514" s="164">
        <f t="shared" si="37"/>
        <v>1.7053721719963346</v>
      </c>
      <c r="E514" s="164">
        <f t="shared" si="38"/>
        <v>-1.0882241989739223</v>
      </c>
      <c r="F514" s="164">
        <f t="shared" si="39"/>
        <v>0.56982702617993464</v>
      </c>
      <c r="H514" s="164">
        <f t="shared" si="40"/>
        <v>2.1592262770998696</v>
      </c>
      <c r="I514" s="164">
        <f t="shared" si="41"/>
        <v>3.0016777551907285</v>
      </c>
      <c r="J514" s="164">
        <f t="shared" si="42"/>
        <v>-1.4144339539198989</v>
      </c>
      <c r="K514" s="164">
        <f t="shared" si="43"/>
        <v>3.0385997199364305</v>
      </c>
      <c r="M514" s="164">
        <f t="shared" si="44"/>
        <v>1.1896394731689608</v>
      </c>
      <c r="N514" s="164">
        <f t="shared" si="45"/>
        <v>1.653793482035752</v>
      </c>
      <c r="O514" s="164">
        <f t="shared" si="46"/>
        <v>-2.0729496750819427</v>
      </c>
      <c r="P514" s="164">
        <f t="shared" si="47"/>
        <v>0.81018637127920656</v>
      </c>
    </row>
    <row r="515" spans="1:16">
      <c r="A515" s="164">
        <f t="shared" si="48"/>
        <v>140</v>
      </c>
      <c r="B515" s="164">
        <f t="shared" si="35"/>
        <v>-0.83909963117728037</v>
      </c>
      <c r="C515" s="164">
        <f t="shared" si="36"/>
        <v>1.1707058850223739</v>
      </c>
      <c r="D515" s="164">
        <f t="shared" si="37"/>
        <v>1.5282479959724036</v>
      </c>
      <c r="E515" s="164">
        <f t="shared" si="38"/>
        <v>-1.0321880062893609</v>
      </c>
      <c r="F515" s="164">
        <f t="shared" si="39"/>
        <v>0.36751484849418581</v>
      </c>
      <c r="H515" s="164">
        <f t="shared" si="40"/>
        <v>2.1274904310105422</v>
      </c>
      <c r="I515" s="164">
        <f t="shared" si="41"/>
        <v>2.7772415166258333</v>
      </c>
      <c r="J515" s="164">
        <f t="shared" si="42"/>
        <v>-1.3826981078305716</v>
      </c>
      <c r="K515" s="164">
        <f t="shared" si="43"/>
        <v>2.7386355778667579</v>
      </c>
      <c r="M515" s="164">
        <f t="shared" si="44"/>
        <v>1.3504073325509358</v>
      </c>
      <c r="N515" s="164">
        <f t="shared" si="45"/>
        <v>1.7628315754797503</v>
      </c>
      <c r="O515" s="164">
        <f t="shared" si="46"/>
        <v>-2.233717534463918</v>
      </c>
      <c r="P515" s="164">
        <f t="shared" si="47"/>
        <v>0.79449118065512558</v>
      </c>
    </row>
    <row r="516" spans="1:16">
      <c r="A516" s="164">
        <f t="shared" si="48"/>
        <v>144</v>
      </c>
      <c r="B516" s="164">
        <f t="shared" si="35"/>
        <v>-0.72654252800536101</v>
      </c>
      <c r="C516" s="164">
        <f t="shared" si="36"/>
        <v>1.1080745612133185</v>
      </c>
      <c r="D516" s="164">
        <f t="shared" si="37"/>
        <v>1.3696554817979136</v>
      </c>
      <c r="E516" s="164">
        <f t="shared" si="38"/>
        <v>-0.96955668248030558</v>
      </c>
      <c r="F516" s="164">
        <f t="shared" si="39"/>
        <v>0.19023926507719602</v>
      </c>
      <c r="H516" s="164">
        <f t="shared" si="40"/>
        <v>1.9912767999694887</v>
      </c>
      <c r="I516" s="164">
        <f t="shared" si="41"/>
        <v>2.4613534867805393</v>
      </c>
      <c r="J516" s="164">
        <f t="shared" si="42"/>
        <v>-1.2464844767895182</v>
      </c>
      <c r="K516" s="164">
        <f t="shared" si="43"/>
        <v>2.4002064220808768</v>
      </c>
      <c r="M516" s="164">
        <f t="shared" si="44"/>
        <v>1.5104696158126611</v>
      </c>
      <c r="N516" s="164">
        <f t="shared" si="45"/>
        <v>1.8670431230924407</v>
      </c>
      <c r="O516" s="164">
        <f t="shared" si="46"/>
        <v>-2.3937798177256431</v>
      </c>
      <c r="P516" s="164">
        <f t="shared" si="47"/>
        <v>0.75878529912035764</v>
      </c>
    </row>
    <row r="517" spans="1:16">
      <c r="A517" s="164">
        <f t="shared" si="48"/>
        <v>148</v>
      </c>
      <c r="B517" s="164">
        <f t="shared" si="35"/>
        <v>-0.62486935190932746</v>
      </c>
      <c r="C517" s="164">
        <f t="shared" si="36"/>
        <v>1.0466630778490424</v>
      </c>
      <c r="D517" s="164">
        <f t="shared" si="37"/>
        <v>1.2342024969960916</v>
      </c>
      <c r="E517" s="164">
        <f t="shared" si="38"/>
        <v>-0.90814519911602953</v>
      </c>
      <c r="F517" s="164">
        <f t="shared" si="39"/>
        <v>3.9203651277793461E-2</v>
      </c>
      <c r="H517" s="164">
        <f t="shared" si="40"/>
        <v>1.8224361712521497</v>
      </c>
      <c r="I517" s="164">
        <f t="shared" si="41"/>
        <v>2.1489773746464422</v>
      </c>
      <c r="J517" s="164">
        <f t="shared" si="42"/>
        <v>-1.0776438480721793</v>
      </c>
      <c r="K517" s="164">
        <f t="shared" si="43"/>
        <v>2.0922436510990656</v>
      </c>
      <c r="M517" s="164">
        <f t="shared" si="44"/>
        <v>1.6582386142310153</v>
      </c>
      <c r="N517" s="164">
        <f t="shared" si="45"/>
        <v>1.955359161522304</v>
      </c>
      <c r="O517" s="164">
        <f t="shared" si="46"/>
        <v>-2.5415488161439974</v>
      </c>
      <c r="P517" s="164">
        <f t="shared" si="47"/>
        <v>0.6975473741580962</v>
      </c>
    </row>
    <row r="518" spans="1:16">
      <c r="A518" s="164">
        <f t="shared" si="48"/>
        <v>152</v>
      </c>
      <c r="B518" s="164">
        <f t="shared" si="35"/>
        <v>-0.53170943166147921</v>
      </c>
      <c r="C518" s="164">
        <f t="shared" si="36"/>
        <v>0.98961469430328319</v>
      </c>
      <c r="D518" s="164">
        <f t="shared" si="37"/>
        <v>1.1208079644896876</v>
      </c>
      <c r="E518" s="164">
        <f t="shared" si="38"/>
        <v>-0.85109681557027017</v>
      </c>
      <c r="F518" s="164">
        <f t="shared" si="39"/>
        <v>-8.8636561173312534E-2</v>
      </c>
      <c r="H518" s="164">
        <f t="shared" si="40"/>
        <v>1.6595298740218167</v>
      </c>
      <c r="I518" s="164">
        <f t="shared" si="41"/>
        <v>1.879533833540864</v>
      </c>
      <c r="J518" s="164">
        <f t="shared" si="42"/>
        <v>-0.91473755084184616</v>
      </c>
      <c r="K518" s="164">
        <f t="shared" si="43"/>
        <v>1.835846828014005</v>
      </c>
      <c r="M518" s="164">
        <f t="shared" si="44"/>
        <v>1.7791061414728204</v>
      </c>
      <c r="N518" s="164">
        <f t="shared" si="45"/>
        <v>2.0149623328290533</v>
      </c>
      <c r="O518" s="164">
        <f t="shared" si="46"/>
        <v>-2.6624163433858024</v>
      </c>
      <c r="P518" s="164">
        <f t="shared" si="47"/>
        <v>0.60733240132050081</v>
      </c>
    </row>
    <row r="519" spans="1:16">
      <c r="A519" s="164">
        <f t="shared" si="48"/>
        <v>156</v>
      </c>
      <c r="B519" s="164">
        <f t="shared" si="35"/>
        <v>-0.44522868530853649</v>
      </c>
      <c r="C519" s="164">
        <f t="shared" si="36"/>
        <v>0.93776447251282569</v>
      </c>
      <c r="D519" s="164">
        <f t="shared" si="37"/>
        <v>1.0265110123066254</v>
      </c>
      <c r="E519" s="164">
        <f t="shared" si="38"/>
        <v>-0.79924659377981266</v>
      </c>
      <c r="F519" s="164">
        <f t="shared" si="39"/>
        <v>-0.19730438461922117</v>
      </c>
      <c r="H519" s="164">
        <f t="shared" si="40"/>
        <v>1.5154926026906359</v>
      </c>
      <c r="I519" s="164">
        <f t="shared" si="41"/>
        <v>1.6589131827127208</v>
      </c>
      <c r="J519" s="164">
        <f t="shared" si="42"/>
        <v>-0.77070027951066533</v>
      </c>
      <c r="K519" s="164">
        <f t="shared" si="43"/>
        <v>1.6281999209633828</v>
      </c>
      <c r="M519" s="164">
        <f t="shared" si="44"/>
        <v>1.8592059844554427</v>
      </c>
      <c r="N519" s="164">
        <f t="shared" si="45"/>
        <v>2.0351543198004771</v>
      </c>
      <c r="O519" s="164">
        <f t="shared" si="46"/>
        <v>-2.7425161863684249</v>
      </c>
      <c r="P519" s="164">
        <f t="shared" si="47"/>
        <v>0.48913672214940046</v>
      </c>
    </row>
    <row r="520" spans="1:16">
      <c r="A520" s="164">
        <f t="shared" si="48"/>
        <v>160</v>
      </c>
      <c r="B520" s="164">
        <f t="shared" si="35"/>
        <v>-0.36397023426620256</v>
      </c>
      <c r="C520" s="164">
        <f t="shared" si="36"/>
        <v>0.89094632540654028</v>
      </c>
      <c r="D520" s="164">
        <f t="shared" si="37"/>
        <v>0.94812527596673135</v>
      </c>
      <c r="E520" s="164">
        <f t="shared" si="38"/>
        <v>-0.75242844667352748</v>
      </c>
      <c r="F520" s="164">
        <f t="shared" si="39"/>
        <v>-0.29054608506832885</v>
      </c>
      <c r="H520" s="164">
        <f t="shared" si="40"/>
        <v>1.3917573111334756</v>
      </c>
      <c r="I520" s="164">
        <f t="shared" si="41"/>
        <v>1.4810771951890873</v>
      </c>
      <c r="J520" s="164">
        <f t="shared" si="42"/>
        <v>-0.64696498795350521</v>
      </c>
      <c r="K520" s="164">
        <f t="shared" si="43"/>
        <v>1.4600173764475701</v>
      </c>
      <c r="M520" s="164">
        <f t="shared" si="44"/>
        <v>1.8905708364203517</v>
      </c>
      <c r="N520" s="164">
        <f t="shared" si="45"/>
        <v>2.0119034614097324</v>
      </c>
      <c r="O520" s="164">
        <f t="shared" si="46"/>
        <v>-2.7738810383333341</v>
      </c>
      <c r="P520" s="164">
        <f t="shared" si="47"/>
        <v>0.34947639620130638</v>
      </c>
    </row>
    <row r="521" spans="1:16">
      <c r="A521" s="164">
        <f t="shared" si="48"/>
        <v>164</v>
      </c>
      <c r="B521" s="164">
        <f t="shared" si="35"/>
        <v>-0.28674538575880848</v>
      </c>
      <c r="C521" s="164">
        <f t="shared" si="36"/>
        <v>0.84862307604549159</v>
      </c>
      <c r="D521" s="164">
        <f t="shared" si="37"/>
        <v>0.88282210726926247</v>
      </c>
      <c r="E521" s="164">
        <f t="shared" si="38"/>
        <v>-0.71010519731247856</v>
      </c>
      <c r="F521" s="164">
        <f t="shared" si="39"/>
        <v>-0.37148527654066854</v>
      </c>
      <c r="H521" s="164">
        <f t="shared" si="40"/>
        <v>1.2859464978579505</v>
      </c>
      <c r="I521" s="164">
        <f t="shared" si="41"/>
        <v>1.337769416269829</v>
      </c>
      <c r="J521" s="164">
        <f t="shared" si="42"/>
        <v>-0.54115417467797988</v>
      </c>
      <c r="K521" s="164">
        <f t="shared" si="43"/>
        <v>1.3221983664660855</v>
      </c>
      <c r="M521" s="164">
        <f t="shared" si="44"/>
        <v>1.8743004469597984</v>
      </c>
      <c r="N521" s="164">
        <f t="shared" si="45"/>
        <v>1.9498336976074271</v>
      </c>
      <c r="O521" s="164">
        <f t="shared" si="46"/>
        <v>-2.7576106488727801</v>
      </c>
      <c r="P521" s="164">
        <f t="shared" si="47"/>
        <v>0.19881189066393484</v>
      </c>
    </row>
    <row r="522" spans="1:16">
      <c r="A522" s="164">
        <f t="shared" si="48"/>
        <v>168</v>
      </c>
      <c r="B522" s="164">
        <f t="shared" si="35"/>
        <v>-0.2125565616700221</v>
      </c>
      <c r="C522" s="164">
        <f t="shared" si="36"/>
        <v>0.81016653702214647</v>
      </c>
      <c r="D522" s="164">
        <f t="shared" si="37"/>
        <v>0.82826613939896199</v>
      </c>
      <c r="E522" s="164">
        <f t="shared" si="38"/>
        <v>-0.67164865828913356</v>
      </c>
      <c r="F522" s="164">
        <f t="shared" si="39"/>
        <v>-0.44261781435562353</v>
      </c>
      <c r="H522" s="164">
        <f t="shared" si="40"/>
        <v>1.1949299104027304</v>
      </c>
      <c r="I522" s="164">
        <f t="shared" si="41"/>
        <v>1.2216253554231435</v>
      </c>
      <c r="J522" s="164">
        <f t="shared" si="42"/>
        <v>-0.45013758722275987</v>
      </c>
      <c r="K522" s="164">
        <f t="shared" si="43"/>
        <v>1.2074493350644906</v>
      </c>
      <c r="M522" s="164">
        <f t="shared" si="44"/>
        <v>1.8193111337203007</v>
      </c>
      <c r="N522" s="164">
        <f t="shared" si="45"/>
        <v>1.8599556266921831</v>
      </c>
      <c r="O522" s="164">
        <f t="shared" si="46"/>
        <v>-2.7026213356332827</v>
      </c>
      <c r="P522" s="164">
        <f t="shared" si="47"/>
        <v>4.8071405164117287E-2</v>
      </c>
    </row>
    <row r="523" spans="1:16">
      <c r="A523" s="164">
        <f t="shared" si="48"/>
        <v>172</v>
      </c>
      <c r="B523" s="164">
        <f t="shared" si="35"/>
        <v>-0.14054083470239176</v>
      </c>
      <c r="C523" s="164">
        <f t="shared" si="36"/>
        <v>0.77497198170249482</v>
      </c>
      <c r="D523" s="164">
        <f t="shared" si="37"/>
        <v>0.78258807505257322</v>
      </c>
      <c r="E523" s="164">
        <f t="shared" si="38"/>
        <v>-0.63645410296948179</v>
      </c>
      <c r="F523" s="164">
        <f t="shared" si="39"/>
        <v>-0.50590881866572435</v>
      </c>
      <c r="H523" s="164">
        <f t="shared" si="40"/>
        <v>1.1158292946969843</v>
      </c>
      <c r="I523" s="164">
        <f t="shared" si="41"/>
        <v>1.1267951880090175</v>
      </c>
      <c r="J523" s="164">
        <f t="shared" si="42"/>
        <v>-0.37103697151701376</v>
      </c>
      <c r="K523" s="164">
        <f t="shared" si="43"/>
        <v>1.1102787223347139</v>
      </c>
      <c r="M523" s="164">
        <f t="shared" si="44"/>
        <v>1.7379860583752802</v>
      </c>
      <c r="N523" s="164">
        <f t="shared" si="45"/>
        <v>1.7550662424003105</v>
      </c>
      <c r="O523" s="164">
        <f t="shared" si="46"/>
        <v>-2.6212962602882621</v>
      </c>
      <c r="P523" s="164">
        <f t="shared" si="47"/>
        <v>-9.437710268227803E-2</v>
      </c>
    </row>
    <row r="524" spans="1:16">
      <c r="A524" s="164">
        <f t="shared" si="48"/>
        <v>176</v>
      </c>
      <c r="B524" s="164">
        <f t="shared" si="35"/>
        <v>-6.9926811943510636E-2</v>
      </c>
      <c r="C524" s="164">
        <f t="shared" si="36"/>
        <v>0.74249798301033265</v>
      </c>
      <c r="D524" s="164">
        <f t="shared" si="37"/>
        <v>0.7443110874103197</v>
      </c>
      <c r="E524" s="164">
        <f t="shared" si="38"/>
        <v>-0.60398010427731963</v>
      </c>
      <c r="F524" s="164">
        <f t="shared" si="39"/>
        <v>-0.56290351101876013</v>
      </c>
      <c r="H524" s="164">
        <f t="shared" si="40"/>
        <v>1.0462578625243306</v>
      </c>
      <c r="I524" s="164">
        <f t="shared" si="41"/>
        <v>1.0488127175912398</v>
      </c>
      <c r="J524" s="164">
        <f t="shared" si="42"/>
        <v>-0.30146553934435982</v>
      </c>
      <c r="K524" s="164">
        <f t="shared" si="43"/>
        <v>1.0266206186697771</v>
      </c>
      <c r="M524" s="164">
        <f t="shared" si="44"/>
        <v>1.6420100197459386</v>
      </c>
      <c r="N524" s="164">
        <f t="shared" si="45"/>
        <v>1.6460196408624215</v>
      </c>
      <c r="O524" s="164">
        <f t="shared" si="46"/>
        <v>-2.5253202216589203</v>
      </c>
      <c r="P524" s="164">
        <f t="shared" si="47"/>
        <v>-0.22381458816732525</v>
      </c>
    </row>
    <row r="525" spans="1:16">
      <c r="A525" s="164">
        <f t="shared" si="48"/>
        <v>180</v>
      </c>
      <c r="B525" s="164">
        <f t="shared" si="35"/>
        <v>-1.22514845490862E-16</v>
      </c>
      <c r="C525" s="164">
        <f t="shared" si="36"/>
        <v>0.71227410840803607</v>
      </c>
      <c r="D525" s="164">
        <f t="shared" si="37"/>
        <v>0.71227410840803607</v>
      </c>
      <c r="E525" s="164">
        <f t="shared" si="38"/>
        <v>-0.57375622967502315</v>
      </c>
      <c r="F525" s="164">
        <f t="shared" si="39"/>
        <v>-0.61482402784515955</v>
      </c>
      <c r="H525" s="164">
        <f t="shared" si="40"/>
        <v>0.9843070576628713</v>
      </c>
      <c r="I525" s="164">
        <f t="shared" si="41"/>
        <v>0.9843070576628713</v>
      </c>
      <c r="J525" s="164">
        <f t="shared" si="42"/>
        <v>-0.23951473448290073</v>
      </c>
      <c r="K525" s="164">
        <f t="shared" si="43"/>
        <v>0.95345914187261882</v>
      </c>
      <c r="M525" s="164">
        <f t="shared" si="44"/>
        <v>1.5402504380225397</v>
      </c>
      <c r="N525" s="164">
        <f t="shared" si="45"/>
        <v>1.5402504380225397</v>
      </c>
      <c r="O525" s="164">
        <f t="shared" si="46"/>
        <v>-2.4235606399355216</v>
      </c>
      <c r="P525" s="164">
        <f t="shared" si="47"/>
        <v>-0.33863511402745949</v>
      </c>
    </row>
    <row r="530" spans="2:8" ht="15">
      <c r="B530" s="166"/>
    </row>
    <row r="539" spans="2:8">
      <c r="H539" s="1"/>
    </row>
    <row r="540" spans="2:8">
      <c r="H540" s="1"/>
    </row>
    <row r="541" spans="2:8">
      <c r="H541" s="1"/>
    </row>
  </sheetData>
  <mergeCells count="3">
    <mergeCell ref="C256:E256"/>
    <mergeCell ref="D320:F320"/>
    <mergeCell ref="D359:F359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672"/>
  <sheetViews>
    <sheetView workbookViewId="0">
      <selection activeCell="A2" sqref="A2"/>
    </sheetView>
  </sheetViews>
  <sheetFormatPr baseColWidth="10" defaultRowHeight="12.75"/>
  <cols>
    <col min="2" max="2" width="21.140625" customWidth="1"/>
    <col min="3" max="3" width="18.85546875" customWidth="1"/>
    <col min="4" max="4" width="16.140625" bestFit="1" customWidth="1"/>
    <col min="7" max="8" width="16.28515625" customWidth="1"/>
    <col min="11" max="11" width="14.42578125" customWidth="1"/>
    <col min="13" max="13" width="16.7109375" customWidth="1"/>
    <col min="19" max="19" width="15" bestFit="1" customWidth="1"/>
    <col min="20" max="20" width="16.140625" bestFit="1" customWidth="1"/>
  </cols>
  <sheetData>
    <row r="1" spans="1:53" s="10" customFormat="1" ht="20.25">
      <c r="A1" s="10" t="s">
        <v>757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5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5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53">
      <c r="A7" t="s">
        <v>758</v>
      </c>
      <c r="K7" s="21"/>
      <c r="L7" s="21"/>
      <c r="M7" s="21"/>
    </row>
    <row r="8" spans="1:5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53">
      <c r="B9" t="s">
        <v>689</v>
      </c>
    </row>
    <row r="10" spans="1:53">
      <c r="B10" s="6" t="s">
        <v>692</v>
      </c>
      <c r="C10" s="6" t="s">
        <v>650</v>
      </c>
    </row>
    <row r="11" spans="1:53">
      <c r="B11" s="178">
        <v>0.05</v>
      </c>
      <c r="C11" s="178">
        <f>_xlfn.CHISQ.INV(1-B11,2)</f>
        <v>5.9914645471079799</v>
      </c>
      <c r="D11" s="177" t="s">
        <v>695</v>
      </c>
      <c r="E11" s="177"/>
    </row>
    <row r="12" spans="1:53" ht="12" customHeight="1"/>
    <row r="13" spans="1:53">
      <c r="B13" s="6" t="s">
        <v>707</v>
      </c>
      <c r="C13" s="6" t="s">
        <v>256</v>
      </c>
      <c r="D13" s="6" t="s">
        <v>708</v>
      </c>
      <c r="E13" s="6" t="s">
        <v>709</v>
      </c>
    </row>
    <row r="14" spans="1:53">
      <c r="B14" s="6">
        <v>1</v>
      </c>
      <c r="C14" s="172">
        <v>17.876000000000001</v>
      </c>
      <c r="D14" s="172">
        <v>2.456</v>
      </c>
      <c r="E14" s="177" t="s">
        <v>668</v>
      </c>
    </row>
    <row r="15" spans="1:53">
      <c r="B15" s="6">
        <f t="shared" ref="B15:B70" si="0">B14+1</f>
        <v>2</v>
      </c>
      <c r="C15" s="172">
        <v>20.8103399134894</v>
      </c>
      <c r="D15" s="172">
        <v>1.653</v>
      </c>
      <c r="E15" s="177" t="s">
        <v>668</v>
      </c>
    </row>
    <row r="16" spans="1:53">
      <c r="B16" s="6">
        <f t="shared" si="0"/>
        <v>3</v>
      </c>
      <c r="C16" s="172">
        <v>17.694314927315698</v>
      </c>
      <c r="D16" s="172">
        <v>0.99025078711056869</v>
      </c>
      <c r="E16" s="177" t="s">
        <v>668</v>
      </c>
    </row>
    <row r="17" spans="2:5">
      <c r="B17" s="6">
        <f t="shared" si="0"/>
        <v>4</v>
      </c>
      <c r="C17" s="172">
        <v>19.3929514400889</v>
      </c>
      <c r="D17" s="172">
        <v>0.71609086605214312</v>
      </c>
      <c r="E17" s="177" t="s">
        <v>668</v>
      </c>
    </row>
    <row r="18" spans="2:5">
      <c r="B18" s="6">
        <f t="shared" si="0"/>
        <v>5</v>
      </c>
      <c r="C18" s="172">
        <v>15.820714863796301</v>
      </c>
      <c r="D18" s="172">
        <v>2.4951215667661915</v>
      </c>
      <c r="E18" s="177" t="s">
        <v>668</v>
      </c>
    </row>
    <row r="19" spans="2:5">
      <c r="B19" s="6">
        <f t="shared" si="0"/>
        <v>6</v>
      </c>
      <c r="C19" s="172">
        <v>18.032032415945</v>
      </c>
      <c r="D19" s="172">
        <v>1.9930000000000001</v>
      </c>
      <c r="E19" s="177" t="s">
        <v>668</v>
      </c>
    </row>
    <row r="20" spans="2:5">
      <c r="B20" s="6">
        <f t="shared" si="0"/>
        <v>7</v>
      </c>
      <c r="C20" s="172">
        <v>14.3304918249652</v>
      </c>
      <c r="D20" s="172">
        <v>2.1999</v>
      </c>
      <c r="E20" s="177" t="s">
        <v>668</v>
      </c>
    </row>
    <row r="21" spans="2:5">
      <c r="B21" s="6">
        <f t="shared" si="0"/>
        <v>8</v>
      </c>
      <c r="C21" s="172">
        <v>14.3676671400261</v>
      </c>
      <c r="D21" s="172">
        <v>2.7601393452104181</v>
      </c>
      <c r="E21" s="177" t="s">
        <v>668</v>
      </c>
    </row>
    <row r="22" spans="2:5">
      <c r="B22" s="6">
        <f t="shared" si="0"/>
        <v>9</v>
      </c>
      <c r="C22" s="172">
        <v>24.492319157259601</v>
      </c>
      <c r="D22" s="172">
        <v>0.6546066380564598</v>
      </c>
      <c r="E22" s="177" t="s">
        <v>668</v>
      </c>
    </row>
    <row r="23" spans="2:5">
      <c r="B23" s="6">
        <f t="shared" si="0"/>
        <v>10</v>
      </c>
      <c r="C23" s="172">
        <v>21.279546515039101</v>
      </c>
      <c r="D23" s="172">
        <v>1.086368078283922</v>
      </c>
      <c r="E23" s="177" t="s">
        <v>668</v>
      </c>
    </row>
    <row r="24" spans="2:5">
      <c r="B24" s="6">
        <f t="shared" si="0"/>
        <v>11</v>
      </c>
      <c r="C24" s="172">
        <v>22.3967648762737</v>
      </c>
      <c r="D24" s="172">
        <v>0.78591964835349126</v>
      </c>
      <c r="E24" s="177" t="s">
        <v>668</v>
      </c>
    </row>
    <row r="25" spans="2:5">
      <c r="B25" s="6">
        <f t="shared" si="0"/>
        <v>12</v>
      </c>
      <c r="C25" s="172">
        <v>21.030810943724902</v>
      </c>
      <c r="D25" s="172">
        <v>1.0529364977079734</v>
      </c>
      <c r="E25" s="177" t="s">
        <v>668</v>
      </c>
    </row>
    <row r="26" spans="2:5">
      <c r="B26" s="6">
        <f t="shared" si="0"/>
        <v>13</v>
      </c>
      <c r="C26" s="172">
        <v>20.878015795945</v>
      </c>
      <c r="D26" s="172">
        <v>0.66305495407967063</v>
      </c>
      <c r="E26" s="177" t="s">
        <v>668</v>
      </c>
    </row>
    <row r="27" spans="2:5">
      <c r="B27" s="6">
        <f t="shared" si="0"/>
        <v>14</v>
      </c>
      <c r="C27" s="172">
        <v>21.492581498487699</v>
      </c>
      <c r="D27" s="172">
        <v>1.3650151158327173</v>
      </c>
      <c r="E27" s="177" t="s">
        <v>668</v>
      </c>
    </row>
    <row r="28" spans="2:5">
      <c r="B28" s="6">
        <f t="shared" si="0"/>
        <v>15</v>
      </c>
      <c r="C28" s="172">
        <v>21.138828688829602</v>
      </c>
      <c r="D28" s="172">
        <v>1.0235932390041083</v>
      </c>
      <c r="E28" s="177" t="s">
        <v>668</v>
      </c>
    </row>
    <row r="29" spans="2:5">
      <c r="B29" s="6">
        <f t="shared" si="0"/>
        <v>16</v>
      </c>
      <c r="C29" s="172">
        <v>21.395341085245299</v>
      </c>
      <c r="D29" s="172">
        <v>1.1605164387646234</v>
      </c>
      <c r="E29" s="177" t="s">
        <v>668</v>
      </c>
    </row>
    <row r="30" spans="2:5">
      <c r="B30" s="6">
        <f t="shared" si="0"/>
        <v>17</v>
      </c>
      <c r="C30" s="172">
        <v>21.2995106952818</v>
      </c>
      <c r="D30" s="172">
        <v>0.85138844563348581</v>
      </c>
      <c r="E30" s="177" t="s">
        <v>668</v>
      </c>
    </row>
    <row r="31" spans="2:5">
      <c r="B31" s="6">
        <f t="shared" si="0"/>
        <v>18</v>
      </c>
      <c r="C31" s="172">
        <v>22.349127905198099</v>
      </c>
      <c r="D31" s="172">
        <v>0.78028381055389029</v>
      </c>
      <c r="E31" s="177" t="s">
        <v>668</v>
      </c>
    </row>
    <row r="32" spans="2:5">
      <c r="B32" s="6">
        <f t="shared" si="0"/>
        <v>19</v>
      </c>
      <c r="C32" s="172">
        <v>21.619082436531599</v>
      </c>
      <c r="D32" s="172">
        <v>0.91464124697076754</v>
      </c>
      <c r="E32" s="177" t="s">
        <v>668</v>
      </c>
    </row>
    <row r="33" spans="2:5">
      <c r="B33" s="6">
        <f t="shared" si="0"/>
        <v>20</v>
      </c>
      <c r="C33" s="172">
        <v>22.957691848466801</v>
      </c>
      <c r="D33" s="172">
        <v>3.2786673075158701</v>
      </c>
      <c r="E33" s="177" t="s">
        <v>669</v>
      </c>
    </row>
    <row r="34" spans="2:5">
      <c r="B34" s="6">
        <f t="shared" si="0"/>
        <v>21</v>
      </c>
      <c r="C34" s="172">
        <v>23.468435025130699</v>
      </c>
      <c r="D34" s="172">
        <v>2.5700063419822872</v>
      </c>
      <c r="E34" s="177" t="s">
        <v>669</v>
      </c>
    </row>
    <row r="35" spans="2:5">
      <c r="B35" s="6">
        <f t="shared" si="0"/>
        <v>22</v>
      </c>
      <c r="C35" s="172">
        <v>25.890106145797599</v>
      </c>
      <c r="D35" s="172">
        <v>2.1875697521846873</v>
      </c>
      <c r="E35" s="177" t="s">
        <v>669</v>
      </c>
    </row>
    <row r="36" spans="2:5">
      <c r="B36" s="6">
        <f t="shared" si="0"/>
        <v>23</v>
      </c>
      <c r="C36" s="172">
        <v>29.661506266264201</v>
      </c>
      <c r="D36" s="172">
        <v>1.9930000000000001</v>
      </c>
      <c r="E36" s="177" t="s">
        <v>669</v>
      </c>
    </row>
    <row r="37" spans="2:5">
      <c r="B37" s="6">
        <f t="shared" si="0"/>
        <v>24</v>
      </c>
      <c r="C37" s="172">
        <v>17.4810872488355</v>
      </c>
      <c r="D37" s="172">
        <v>3.7976325768294572</v>
      </c>
      <c r="E37" s="177" t="s">
        <v>669</v>
      </c>
    </row>
    <row r="38" spans="2:5">
      <c r="B38" s="6">
        <f t="shared" si="0"/>
        <v>25</v>
      </c>
      <c r="C38" s="172">
        <v>13.377998976286509</v>
      </c>
      <c r="D38" s="172">
        <v>4.2917481631029695</v>
      </c>
      <c r="E38" s="177" t="s">
        <v>669</v>
      </c>
    </row>
    <row r="39" spans="2:5">
      <c r="B39" s="6">
        <f t="shared" si="0"/>
        <v>26</v>
      </c>
      <c r="C39" s="172">
        <v>14.952697230726701</v>
      </c>
      <c r="D39" s="172">
        <v>4.6763853940906399</v>
      </c>
      <c r="E39" s="177" t="s">
        <v>669</v>
      </c>
    </row>
    <row r="40" spans="2:5">
      <c r="B40" s="6">
        <f t="shared" si="0"/>
        <v>27</v>
      </c>
      <c r="C40" s="172">
        <v>20.869693677314402</v>
      </c>
      <c r="D40" s="172">
        <v>3.7526707058847313</v>
      </c>
      <c r="E40" s="177" t="s">
        <v>669</v>
      </c>
    </row>
    <row r="41" spans="2:5">
      <c r="B41" s="6">
        <f t="shared" si="0"/>
        <v>28</v>
      </c>
      <c r="C41" s="172">
        <v>14.778989902436599</v>
      </c>
      <c r="D41" s="172">
        <v>4.0053157395703147</v>
      </c>
      <c r="E41" s="177" t="s">
        <v>669</v>
      </c>
    </row>
    <row r="42" spans="2:5">
      <c r="B42" s="6">
        <f t="shared" si="0"/>
        <v>29</v>
      </c>
      <c r="C42" s="172">
        <v>20.911065507415099</v>
      </c>
      <c r="D42" s="172">
        <v>2.3789819632957814</v>
      </c>
      <c r="E42" s="177" t="s">
        <v>669</v>
      </c>
    </row>
    <row r="43" spans="2:5">
      <c r="B43" s="6">
        <f t="shared" si="0"/>
        <v>30</v>
      </c>
      <c r="C43" s="172">
        <v>23.051352696916702</v>
      </c>
      <c r="D43" s="172">
        <v>2.0358583104884271</v>
      </c>
      <c r="E43" s="177" t="s">
        <v>669</v>
      </c>
    </row>
    <row r="44" spans="2:5">
      <c r="B44" s="6">
        <f t="shared" si="0"/>
        <v>31</v>
      </c>
      <c r="C44" s="172">
        <v>25.792804322451801</v>
      </c>
      <c r="D44" s="172">
        <v>1.7991002722407445</v>
      </c>
      <c r="E44" s="177" t="s">
        <v>669</v>
      </c>
    </row>
    <row r="45" spans="2:5">
      <c r="B45" s="6">
        <f t="shared" si="0"/>
        <v>32</v>
      </c>
      <c r="C45" s="172">
        <v>26.989364763111499</v>
      </c>
      <c r="D45" s="172">
        <v>2.0260966143560188</v>
      </c>
      <c r="E45" s="177" t="s">
        <v>669</v>
      </c>
    </row>
    <row r="46" spans="2:5">
      <c r="B46" s="6">
        <f t="shared" si="0"/>
        <v>33</v>
      </c>
      <c r="C46" s="172">
        <v>26.3934318818492</v>
      </c>
      <c r="D46" s="172">
        <v>2.4932397650206299</v>
      </c>
      <c r="E46" s="177" t="s">
        <v>669</v>
      </c>
    </row>
    <row r="47" spans="2:5">
      <c r="B47" s="6">
        <f t="shared" si="0"/>
        <v>34</v>
      </c>
      <c r="C47" s="172">
        <v>27.141329779307402</v>
      </c>
      <c r="D47" s="172">
        <v>2.2064087535448951</v>
      </c>
      <c r="E47" s="177" t="s">
        <v>669</v>
      </c>
    </row>
    <row r="48" spans="2:5">
      <c r="B48" s="6">
        <f t="shared" si="0"/>
        <v>35</v>
      </c>
      <c r="C48" s="172">
        <v>26.465379096851599</v>
      </c>
      <c r="D48" s="172">
        <v>2.2194727487159795</v>
      </c>
      <c r="E48" s="177" t="s">
        <v>669</v>
      </c>
    </row>
    <row r="49" spans="2:5">
      <c r="B49" s="6">
        <f t="shared" si="0"/>
        <v>36</v>
      </c>
      <c r="C49" s="172">
        <v>25.239641678711699</v>
      </c>
      <c r="D49" s="172">
        <v>2.3895416252504083</v>
      </c>
      <c r="E49" s="177" t="s">
        <v>669</v>
      </c>
    </row>
    <row r="50" spans="2:5">
      <c r="B50" s="6">
        <f t="shared" si="0"/>
        <v>37</v>
      </c>
      <c r="C50" s="172">
        <v>25.4629356550689</v>
      </c>
      <c r="D50" s="172">
        <v>2.8886945972626346</v>
      </c>
      <c r="E50" s="177" t="s">
        <v>669</v>
      </c>
    </row>
    <row r="51" spans="2:5">
      <c r="B51" s="6">
        <f t="shared" si="0"/>
        <v>38</v>
      </c>
      <c r="C51" s="172">
        <v>27.510572666276399</v>
      </c>
      <c r="D51" s="172">
        <v>2.302703926093661</v>
      </c>
      <c r="E51" s="177" t="s">
        <v>669</v>
      </c>
    </row>
    <row r="52" spans="2:5">
      <c r="B52" s="6">
        <f t="shared" si="0"/>
        <v>39</v>
      </c>
      <c r="C52" s="172">
        <v>12.8066695404329</v>
      </c>
      <c r="D52" s="172">
        <v>1.5812167060681355</v>
      </c>
      <c r="E52" s="177" t="s">
        <v>670</v>
      </c>
    </row>
    <row r="53" spans="2:5">
      <c r="B53" s="6">
        <f t="shared" si="0"/>
        <v>40</v>
      </c>
      <c r="C53" s="172">
        <v>14.449667551600701</v>
      </c>
      <c r="D53" s="172">
        <v>1.4860824966264592</v>
      </c>
      <c r="E53" s="177" t="s">
        <v>670</v>
      </c>
    </row>
    <row r="54" spans="2:5">
      <c r="B54" s="6">
        <f t="shared" si="0"/>
        <v>41</v>
      </c>
      <c r="C54" s="172">
        <v>17.750322581925701</v>
      </c>
      <c r="D54" s="172">
        <v>1.5335002808036511</v>
      </c>
      <c r="E54" s="177" t="s">
        <v>670</v>
      </c>
    </row>
    <row r="55" spans="2:5">
      <c r="B55" s="6">
        <f t="shared" si="0"/>
        <v>42</v>
      </c>
      <c r="C55" s="172">
        <v>20.371762093735001</v>
      </c>
      <c r="D55" s="172">
        <v>1.5972645940202717</v>
      </c>
      <c r="E55" s="177" t="s">
        <v>670</v>
      </c>
    </row>
    <row r="56" spans="2:5">
      <c r="B56" s="6">
        <f t="shared" si="0"/>
        <v>43</v>
      </c>
      <c r="C56" s="172">
        <v>11.831096204919501</v>
      </c>
      <c r="D56" s="172">
        <v>1.2402455826246845</v>
      </c>
      <c r="E56" s="177" t="s">
        <v>670</v>
      </c>
    </row>
    <row r="57" spans="2:5">
      <c r="B57" s="6">
        <f t="shared" si="0"/>
        <v>44</v>
      </c>
      <c r="C57" s="172">
        <v>7.6466240745915997</v>
      </c>
      <c r="D57" s="172">
        <v>2.0389381098016366</v>
      </c>
      <c r="E57" s="177" t="s">
        <v>670</v>
      </c>
    </row>
    <row r="58" spans="2:5">
      <c r="B58" s="6">
        <f t="shared" si="0"/>
        <v>45</v>
      </c>
      <c r="C58" s="172">
        <v>5.5033107921515398</v>
      </c>
      <c r="D58" s="172">
        <v>2.122563604941031</v>
      </c>
      <c r="E58" s="177" t="s">
        <v>670</v>
      </c>
    </row>
    <row r="59" spans="2:5">
      <c r="B59" s="6">
        <f t="shared" si="0"/>
        <v>46</v>
      </c>
      <c r="C59" s="172">
        <v>9.0340000000000007</v>
      </c>
      <c r="D59" s="172">
        <v>1.923</v>
      </c>
      <c r="E59" s="177" t="s">
        <v>670</v>
      </c>
    </row>
    <row r="60" spans="2:5">
      <c r="B60" s="6">
        <f t="shared" si="0"/>
        <v>47</v>
      </c>
      <c r="C60" s="172">
        <v>9.6329252956793994</v>
      </c>
      <c r="D60" s="172">
        <v>2.3314230677928376</v>
      </c>
      <c r="E60" s="177" t="s">
        <v>670</v>
      </c>
    </row>
    <row r="61" spans="2:5">
      <c r="B61" s="6">
        <f t="shared" si="0"/>
        <v>48</v>
      </c>
      <c r="C61" s="172">
        <v>15.365418587720502</v>
      </c>
      <c r="D61" s="172">
        <v>1.9600587510079703</v>
      </c>
      <c r="E61" s="177" t="s">
        <v>670</v>
      </c>
    </row>
    <row r="62" spans="2:5">
      <c r="B62" s="6">
        <f t="shared" si="0"/>
        <v>49</v>
      </c>
      <c r="C62" s="172">
        <v>17.8432823351929</v>
      </c>
      <c r="D62" s="172">
        <v>1.4835008956607858</v>
      </c>
      <c r="E62" s="177" t="s">
        <v>670</v>
      </c>
    </row>
    <row r="63" spans="2:5">
      <c r="B63" s="6">
        <f t="shared" si="0"/>
        <v>50</v>
      </c>
      <c r="C63" s="172">
        <v>15.995980506880102</v>
      </c>
      <c r="D63" s="172">
        <v>1.9747477487688423</v>
      </c>
      <c r="E63" s="177" t="s">
        <v>670</v>
      </c>
    </row>
    <row r="64" spans="2:5">
      <c r="B64" s="6">
        <f t="shared" si="0"/>
        <v>51</v>
      </c>
      <c r="C64" s="172">
        <v>18.376018111738102</v>
      </c>
      <c r="D64" s="172">
        <v>0.97686927120331679</v>
      </c>
      <c r="E64" s="177" t="s">
        <v>670</v>
      </c>
    </row>
    <row r="65" spans="1:13">
      <c r="B65" s="6">
        <f t="shared" si="0"/>
        <v>52</v>
      </c>
      <c r="C65" s="172">
        <v>14.8623944616118</v>
      </c>
      <c r="D65" s="172">
        <v>1.1567031024761172</v>
      </c>
      <c r="E65" s="177" t="s">
        <v>670</v>
      </c>
    </row>
    <row r="66" spans="1:13">
      <c r="B66" s="6">
        <f t="shared" si="0"/>
        <v>53</v>
      </c>
      <c r="C66" s="172">
        <v>15.563550283104199</v>
      </c>
      <c r="D66" s="172">
        <v>1.0837545025233131</v>
      </c>
      <c r="E66" s="177" t="s">
        <v>670</v>
      </c>
    </row>
    <row r="67" spans="1:13">
      <c r="B67" s="6">
        <f t="shared" si="0"/>
        <v>54</v>
      </c>
      <c r="C67" s="172">
        <v>15.060202072217201</v>
      </c>
      <c r="D67" s="172">
        <v>2.1489866661507051</v>
      </c>
      <c r="E67" s="177" t="s">
        <v>670</v>
      </c>
    </row>
    <row r="68" spans="1:13">
      <c r="B68" s="6">
        <f t="shared" si="0"/>
        <v>55</v>
      </c>
      <c r="C68" s="172">
        <v>14.728847168249601</v>
      </c>
      <c r="D68" s="172">
        <v>1.4684815222978076</v>
      </c>
      <c r="E68" s="177" t="s">
        <v>670</v>
      </c>
    </row>
    <row r="69" spans="1:13">
      <c r="B69" s="6">
        <f t="shared" si="0"/>
        <v>56</v>
      </c>
      <c r="C69" s="172">
        <v>18.346878659338799</v>
      </c>
      <c r="D69" s="172">
        <v>1.7237418786072713</v>
      </c>
      <c r="E69" s="177" t="s">
        <v>670</v>
      </c>
    </row>
    <row r="70" spans="1:13">
      <c r="B70" s="6">
        <f t="shared" si="0"/>
        <v>57</v>
      </c>
      <c r="C70" s="172">
        <v>20.222999999999999</v>
      </c>
      <c r="D70" s="172">
        <v>0.64743174175156937</v>
      </c>
      <c r="E70" s="177" t="s">
        <v>670</v>
      </c>
    </row>
    <row r="74" spans="1:13" ht="15.75">
      <c r="A74" s="15" t="s">
        <v>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7" spans="1:13">
      <c r="A77" s="24" t="s">
        <v>720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80" spans="1:13">
      <c r="B80" s="6" t="s">
        <v>328</v>
      </c>
      <c r="C80" s="8">
        <f>AVERAGE(C14:C70)</f>
        <v>19.148850470416697</v>
      </c>
      <c r="D80" s="8">
        <f>AVERAGE(D14:D70)</f>
        <v>1.9188321361217013</v>
      </c>
    </row>
    <row r="81" spans="1:13">
      <c r="B81" s="6" t="s">
        <v>396</v>
      </c>
      <c r="C81" s="8">
        <f>_xlfn.STDEV.P(C14:C70)</f>
        <v>5.2694254923606607</v>
      </c>
      <c r="D81" s="8">
        <f>_xlfn.STDEV.P(D14:D70)</f>
        <v>0.92931887536050362</v>
      </c>
    </row>
    <row r="85" spans="1:13">
      <c r="A85" s="24" t="s">
        <v>564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8" spans="1:13">
      <c r="B88" s="6" t="s">
        <v>707</v>
      </c>
      <c r="C88" s="6" t="s">
        <v>710</v>
      </c>
      <c r="D88" s="6" t="s">
        <v>711</v>
      </c>
      <c r="E88" s="6" t="s">
        <v>709</v>
      </c>
    </row>
    <row r="89" spans="1:13">
      <c r="B89" s="6">
        <v>1</v>
      </c>
      <c r="C89" s="8">
        <f t="shared" ref="C89:D104" si="1">(C14-C$80)/C$81</f>
        <v>-0.24155393643235079</v>
      </c>
      <c r="D89" s="8">
        <f t="shared" si="1"/>
        <v>0.57802319324453533</v>
      </c>
      <c r="E89" s="177" t="s">
        <v>668</v>
      </c>
    </row>
    <row r="90" spans="1:13">
      <c r="B90" s="6">
        <f t="shared" ref="B90:B145" si="2">B89+1</f>
        <v>2</v>
      </c>
      <c r="C90" s="8">
        <f t="shared" si="1"/>
        <v>0.3153075122670288</v>
      </c>
      <c r="D90" s="8">
        <f t="shared" si="1"/>
        <v>-0.28605050771036916</v>
      </c>
      <c r="E90" s="177" t="s">
        <v>668</v>
      </c>
    </row>
    <row r="91" spans="1:13">
      <c r="B91" s="6">
        <f t="shared" si="2"/>
        <v>3</v>
      </c>
      <c r="C91" s="8">
        <f t="shared" si="1"/>
        <v>-0.27603304102310749</v>
      </c>
      <c r="D91" s="8">
        <f t="shared" si="1"/>
        <v>-0.99920637967340875</v>
      </c>
      <c r="E91" s="177" t="s">
        <v>668</v>
      </c>
    </row>
    <row r="92" spans="1:13">
      <c r="B92" s="6">
        <f t="shared" si="2"/>
        <v>4</v>
      </c>
      <c r="C92" s="8">
        <f t="shared" si="1"/>
        <v>4.6324019577862578E-2</v>
      </c>
      <c r="D92" s="8">
        <f t="shared" si="1"/>
        <v>-1.2942180579330083</v>
      </c>
      <c r="E92" s="177" t="s">
        <v>668</v>
      </c>
    </row>
    <row r="93" spans="1:13">
      <c r="B93" s="6">
        <f t="shared" si="2"/>
        <v>5</v>
      </c>
      <c r="C93" s="8">
        <f t="shared" si="1"/>
        <v>-0.63159363605109409</v>
      </c>
      <c r="D93" s="8">
        <f t="shared" si="1"/>
        <v>0.62012022560171776</v>
      </c>
      <c r="E93" s="177" t="s">
        <v>668</v>
      </c>
    </row>
    <row r="94" spans="1:13">
      <c r="B94" s="6">
        <f t="shared" si="2"/>
        <v>6</v>
      </c>
      <c r="C94" s="8">
        <f t="shared" si="1"/>
        <v>-0.21194303934855926</v>
      </c>
      <c r="D94" s="8">
        <f t="shared" si="1"/>
        <v>7.9808842631682683E-2</v>
      </c>
      <c r="E94" s="177" t="s">
        <v>668</v>
      </c>
    </row>
    <row r="95" spans="1:13">
      <c r="B95" s="6">
        <f t="shared" si="2"/>
        <v>7</v>
      </c>
      <c r="C95" s="8">
        <f t="shared" si="1"/>
        <v>-0.91439923620457342</v>
      </c>
      <c r="D95" s="8">
        <f t="shared" si="1"/>
        <v>0.30244501788394873</v>
      </c>
      <c r="E95" s="177" t="s">
        <v>668</v>
      </c>
    </row>
    <row r="96" spans="1:13">
      <c r="B96" s="6">
        <f t="shared" si="2"/>
        <v>8</v>
      </c>
      <c r="C96" s="8">
        <f t="shared" si="1"/>
        <v>-0.90734432763535766</v>
      </c>
      <c r="D96" s="8">
        <f t="shared" si="1"/>
        <v>0.90529443810377241</v>
      </c>
      <c r="E96" s="177" t="s">
        <v>668</v>
      </c>
    </row>
    <row r="97" spans="2:5">
      <c r="B97" s="6">
        <f t="shared" si="2"/>
        <v>9</v>
      </c>
      <c r="C97" s="8">
        <f t="shared" si="1"/>
        <v>1.0140514738446511</v>
      </c>
      <c r="D97" s="8">
        <f t="shared" si="1"/>
        <v>-1.3603785864941356</v>
      </c>
      <c r="E97" s="177" t="s">
        <v>668</v>
      </c>
    </row>
    <row r="98" spans="2:5">
      <c r="B98" s="6">
        <f t="shared" si="2"/>
        <v>10</v>
      </c>
      <c r="C98" s="8">
        <f t="shared" si="1"/>
        <v>0.40435073002007077</v>
      </c>
      <c r="D98" s="8">
        <f t="shared" si="1"/>
        <v>-0.89577870406952387</v>
      </c>
      <c r="E98" s="177" t="s">
        <v>668</v>
      </c>
    </row>
    <row r="99" spans="2:5">
      <c r="B99" s="6">
        <f t="shared" si="2"/>
        <v>11</v>
      </c>
      <c r="C99" s="8">
        <f t="shared" si="1"/>
        <v>0.61636973718779409</v>
      </c>
      <c r="D99" s="8">
        <f t="shared" si="1"/>
        <v>-1.2190783140272792</v>
      </c>
      <c r="E99" s="177" t="s">
        <v>668</v>
      </c>
    </row>
    <row r="100" spans="2:5">
      <c r="B100" s="6">
        <f t="shared" si="2"/>
        <v>12</v>
      </c>
      <c r="C100" s="8">
        <f t="shared" si="1"/>
        <v>0.35714718350920283</v>
      </c>
      <c r="D100" s="8">
        <f t="shared" si="1"/>
        <v>-0.9317529874531254</v>
      </c>
      <c r="E100" s="177" t="s">
        <v>668</v>
      </c>
    </row>
    <row r="101" spans="2:5">
      <c r="B101" s="6">
        <f t="shared" si="2"/>
        <v>13</v>
      </c>
      <c r="C101" s="8">
        <f t="shared" si="1"/>
        <v>0.32815063578281106</v>
      </c>
      <c r="D101" s="8">
        <f t="shared" si="1"/>
        <v>-1.3512877176360876</v>
      </c>
      <c r="E101" s="177" t="s">
        <v>668</v>
      </c>
    </row>
    <row r="102" spans="2:5">
      <c r="B102" s="6">
        <f t="shared" si="2"/>
        <v>14</v>
      </c>
      <c r="C102" s="8">
        <f t="shared" si="1"/>
        <v>0.44477923285352855</v>
      </c>
      <c r="D102" s="8">
        <f t="shared" si="1"/>
        <v>-0.59593863309205464</v>
      </c>
      <c r="E102" s="177" t="s">
        <v>668</v>
      </c>
    </row>
    <row r="103" spans="2:5">
      <c r="B103" s="6">
        <f t="shared" si="2"/>
        <v>15</v>
      </c>
      <c r="C103" s="8">
        <f t="shared" si="1"/>
        <v>0.37764614402421509</v>
      </c>
      <c r="D103" s="8">
        <f t="shared" si="1"/>
        <v>-0.96332800382463968</v>
      </c>
      <c r="E103" s="177" t="s">
        <v>668</v>
      </c>
    </row>
    <row r="104" spans="2:5">
      <c r="B104" s="6">
        <f t="shared" si="2"/>
        <v>16</v>
      </c>
      <c r="C104" s="8">
        <f t="shared" si="1"/>
        <v>0.42632552981068755</v>
      </c>
      <c r="D104" s="8">
        <f t="shared" si="1"/>
        <v>-0.81599084820364842</v>
      </c>
      <c r="E104" s="177" t="s">
        <v>668</v>
      </c>
    </row>
    <row r="105" spans="2:5">
      <c r="B105" s="6">
        <f t="shared" si="2"/>
        <v>17</v>
      </c>
      <c r="C105" s="8">
        <f t="shared" ref="C105:D120" si="3">(C30-C$80)/C$81</f>
        <v>0.40813941253804958</v>
      </c>
      <c r="D105" s="8">
        <f t="shared" si="3"/>
        <v>-1.1486301621433548</v>
      </c>
      <c r="E105" s="177" t="s">
        <v>668</v>
      </c>
    </row>
    <row r="106" spans="2:5">
      <c r="B106" s="6">
        <f t="shared" si="2"/>
        <v>18</v>
      </c>
      <c r="C106" s="8">
        <f t="shared" si="3"/>
        <v>0.60732947821750161</v>
      </c>
      <c r="D106" s="8">
        <f t="shared" si="3"/>
        <v>-1.2251427962507946</v>
      </c>
      <c r="E106" s="177" t="s">
        <v>668</v>
      </c>
    </row>
    <row r="107" spans="2:5">
      <c r="B107" s="6">
        <f t="shared" si="2"/>
        <v>19</v>
      </c>
      <c r="C107" s="8">
        <f t="shared" si="3"/>
        <v>0.46878582298888483</v>
      </c>
      <c r="D107" s="8">
        <f t="shared" si="3"/>
        <v>-1.0805665480122584</v>
      </c>
      <c r="E107" s="177" t="s">
        <v>668</v>
      </c>
    </row>
    <row r="108" spans="2:5">
      <c r="B108" s="6">
        <f t="shared" si="2"/>
        <v>20</v>
      </c>
      <c r="C108" s="8">
        <f t="shared" si="3"/>
        <v>0.72281909737066485</v>
      </c>
      <c r="D108" s="8">
        <f t="shared" si="3"/>
        <v>1.4632600364074799</v>
      </c>
      <c r="E108" s="177" t="s">
        <v>669</v>
      </c>
    </row>
    <row r="109" spans="2:5">
      <c r="B109" s="6">
        <f t="shared" si="2"/>
        <v>21</v>
      </c>
      <c r="C109" s="8">
        <f t="shared" si="3"/>
        <v>0.81974487749685632</v>
      </c>
      <c r="D109" s="8">
        <f t="shared" si="3"/>
        <v>0.70070050563428055</v>
      </c>
      <c r="E109" s="177" t="s">
        <v>669</v>
      </c>
    </row>
    <row r="110" spans="2:5">
      <c r="B110" s="6">
        <f t="shared" si="2"/>
        <v>22</v>
      </c>
      <c r="C110" s="8">
        <f t="shared" si="3"/>
        <v>1.2793151141721284</v>
      </c>
      <c r="D110" s="8">
        <f t="shared" si="3"/>
        <v>0.28917696948610522</v>
      </c>
      <c r="E110" s="177" t="s">
        <v>669</v>
      </c>
    </row>
    <row r="111" spans="2:5">
      <c r="B111" s="6">
        <f t="shared" si="2"/>
        <v>23</v>
      </c>
      <c r="C111" s="8">
        <f t="shared" si="3"/>
        <v>1.9950288339949405</v>
      </c>
      <c r="D111" s="8">
        <f t="shared" si="3"/>
        <v>7.9808842631682683E-2</v>
      </c>
      <c r="E111" s="177" t="s">
        <v>669</v>
      </c>
    </row>
    <row r="112" spans="2:5">
      <c r="B112" s="6">
        <f t="shared" si="2"/>
        <v>24</v>
      </c>
      <c r="C112" s="8">
        <f t="shared" si="3"/>
        <v>-0.31649811236519682</v>
      </c>
      <c r="D112" s="8">
        <f t="shared" si="3"/>
        <v>2.0216962019402942</v>
      </c>
      <c r="E112" s="177" t="s">
        <v>669</v>
      </c>
    </row>
    <row r="113" spans="2:5">
      <c r="B113" s="6">
        <f t="shared" si="2"/>
        <v>25</v>
      </c>
      <c r="C113" s="8">
        <f t="shared" si="3"/>
        <v>-1.0951576224953685</v>
      </c>
      <c r="D113" s="8">
        <f t="shared" si="3"/>
        <v>2.5533926942576741</v>
      </c>
      <c r="E113" s="177" t="s">
        <v>669</v>
      </c>
    </row>
    <row r="114" spans="2:5">
      <c r="B114" s="6">
        <f t="shared" si="2"/>
        <v>26</v>
      </c>
      <c r="C114" s="8">
        <f t="shared" si="3"/>
        <v>-0.79632082202763121</v>
      </c>
      <c r="D114" s="8">
        <f t="shared" si="3"/>
        <v>2.9672842455709527</v>
      </c>
      <c r="E114" s="177" t="s">
        <v>669</v>
      </c>
    </row>
    <row r="115" spans="2:5">
      <c r="B115" s="6">
        <f t="shared" si="2"/>
        <v>27</v>
      </c>
      <c r="C115" s="8">
        <f t="shared" si="3"/>
        <v>0.32657131396819133</v>
      </c>
      <c r="D115" s="8">
        <f t="shared" si="3"/>
        <v>1.973314669899116</v>
      </c>
      <c r="E115" s="177" t="s">
        <v>669</v>
      </c>
    </row>
    <row r="116" spans="2:5">
      <c r="B116" s="6">
        <f t="shared" si="2"/>
        <v>28</v>
      </c>
      <c r="C116" s="8">
        <f t="shared" si="3"/>
        <v>-0.82928595808315242</v>
      </c>
      <c r="D116" s="8">
        <f t="shared" si="3"/>
        <v>2.2451751048736845</v>
      </c>
      <c r="E116" s="177" t="s">
        <v>669</v>
      </c>
    </row>
    <row r="117" spans="2:5">
      <c r="B117" s="6">
        <f t="shared" si="2"/>
        <v>29</v>
      </c>
      <c r="C117" s="8">
        <f t="shared" si="3"/>
        <v>0.33442261201969165</v>
      </c>
      <c r="D117" s="8">
        <f t="shared" si="3"/>
        <v>0.49514740244093031</v>
      </c>
      <c r="E117" s="177" t="s">
        <v>669</v>
      </c>
    </row>
    <row r="118" spans="2:5">
      <c r="B118" s="6">
        <f t="shared" si="2"/>
        <v>30</v>
      </c>
      <c r="C118" s="8">
        <f t="shared" si="3"/>
        <v>0.7405934920529097</v>
      </c>
      <c r="D118" s="8">
        <f t="shared" si="3"/>
        <v>0.12592682390242932</v>
      </c>
      <c r="E118" s="177" t="s">
        <v>669</v>
      </c>
    </row>
    <row r="119" spans="2:5">
      <c r="B119" s="6">
        <f t="shared" si="2"/>
        <v>31</v>
      </c>
      <c r="C119" s="8">
        <f t="shared" si="3"/>
        <v>1.2608497570877817</v>
      </c>
      <c r="D119" s="8">
        <f t="shared" si="3"/>
        <v>-0.12883829980802888</v>
      </c>
      <c r="E119" s="177" t="s">
        <v>669</v>
      </c>
    </row>
    <row r="120" spans="2:5">
      <c r="B120" s="6">
        <f t="shared" si="2"/>
        <v>32</v>
      </c>
      <c r="C120" s="8">
        <f t="shared" si="3"/>
        <v>1.4879258287381751</v>
      </c>
      <c r="D120" s="8">
        <f t="shared" si="3"/>
        <v>0.11542268329878397</v>
      </c>
      <c r="E120" s="177" t="s">
        <v>669</v>
      </c>
    </row>
    <row r="121" spans="2:5">
      <c r="B121" s="6">
        <f t="shared" si="2"/>
        <v>33</v>
      </c>
      <c r="C121" s="8">
        <f t="shared" ref="C121:D136" si="4">(C46-C$80)/C$81</f>
        <v>1.3748332568579478</v>
      </c>
      <c r="D121" s="8">
        <f t="shared" si="4"/>
        <v>0.61809529982494227</v>
      </c>
      <c r="E121" s="177" t="s">
        <v>669</v>
      </c>
    </row>
    <row r="122" spans="2:5">
      <c r="B122" s="6">
        <f t="shared" si="2"/>
        <v>34</v>
      </c>
      <c r="C122" s="8">
        <f t="shared" si="4"/>
        <v>1.5167648390660018</v>
      </c>
      <c r="D122" s="8">
        <f t="shared" si="4"/>
        <v>0.30944880712945416</v>
      </c>
      <c r="E122" s="177" t="s">
        <v>669</v>
      </c>
    </row>
    <row r="123" spans="2:5">
      <c r="B123" s="6">
        <f t="shared" si="2"/>
        <v>35</v>
      </c>
      <c r="C123" s="8">
        <f t="shared" si="4"/>
        <v>1.3884869682742502</v>
      </c>
      <c r="D123" s="8">
        <f t="shared" si="4"/>
        <v>0.32350640944170317</v>
      </c>
      <c r="E123" s="177" t="s">
        <v>669</v>
      </c>
    </row>
    <row r="124" spans="2:5">
      <c r="B124" s="6">
        <f t="shared" si="2"/>
        <v>36</v>
      </c>
      <c r="C124" s="8">
        <f t="shared" si="4"/>
        <v>1.1558738646414328</v>
      </c>
      <c r="D124" s="8">
        <f t="shared" si="4"/>
        <v>0.50651019968372879</v>
      </c>
      <c r="E124" s="177" t="s">
        <v>669</v>
      </c>
    </row>
    <row r="125" spans="2:5">
      <c r="B125" s="6">
        <f t="shared" si="2"/>
        <v>37</v>
      </c>
      <c r="C125" s="8">
        <f t="shared" si="4"/>
        <v>1.1982492576858779</v>
      </c>
      <c r="D125" s="8">
        <f t="shared" si="4"/>
        <v>1.0436272057475449</v>
      </c>
      <c r="E125" s="177" t="s">
        <v>669</v>
      </c>
    </row>
    <row r="126" spans="2:5">
      <c r="B126" s="6">
        <f t="shared" si="2"/>
        <v>38</v>
      </c>
      <c r="C126" s="8">
        <f t="shared" si="4"/>
        <v>1.5868375419639376</v>
      </c>
      <c r="D126" s="8">
        <f t="shared" si="4"/>
        <v>0.41306789321700499</v>
      </c>
      <c r="E126" s="177" t="s">
        <v>669</v>
      </c>
    </row>
    <row r="127" spans="2:5">
      <c r="B127" s="6">
        <f t="shared" si="2"/>
        <v>39</v>
      </c>
      <c r="C127" s="8">
        <f t="shared" si="4"/>
        <v>-1.2035810999089676</v>
      </c>
      <c r="D127" s="8">
        <f t="shared" si="4"/>
        <v>-0.36329341736720594</v>
      </c>
      <c r="E127" s="177" t="s">
        <v>670</v>
      </c>
    </row>
    <row r="128" spans="2:5">
      <c r="B128" s="6">
        <f t="shared" si="2"/>
        <v>40</v>
      </c>
      <c r="C128" s="8">
        <f t="shared" si="4"/>
        <v>-0.89178278080383289</v>
      </c>
      <c r="D128" s="8">
        <f t="shared" si="4"/>
        <v>-0.46566324107790114</v>
      </c>
      <c r="E128" s="177" t="s">
        <v>670</v>
      </c>
    </row>
    <row r="129" spans="2:5">
      <c r="B129" s="6">
        <f t="shared" si="2"/>
        <v>41</v>
      </c>
      <c r="C129" s="8">
        <f t="shared" si="4"/>
        <v>-0.26540424388171141</v>
      </c>
      <c r="D129" s="8">
        <f t="shared" si="4"/>
        <v>-0.41463900662576275</v>
      </c>
      <c r="E129" s="177" t="s">
        <v>670</v>
      </c>
    </row>
    <row r="130" spans="2:5">
      <c r="B130" s="6">
        <f t="shared" si="2"/>
        <v>42</v>
      </c>
      <c r="C130" s="8">
        <f t="shared" si="4"/>
        <v>0.23207684122134703</v>
      </c>
      <c r="D130" s="8">
        <f t="shared" si="4"/>
        <v>-0.3460249766009395</v>
      </c>
      <c r="E130" s="177" t="s">
        <v>670</v>
      </c>
    </row>
    <row r="131" spans="2:5">
      <c r="B131" s="6">
        <f t="shared" si="2"/>
        <v>43</v>
      </c>
      <c r="C131" s="8">
        <f t="shared" si="4"/>
        <v>-1.3887195627125</v>
      </c>
      <c r="D131" s="8">
        <f t="shared" si="4"/>
        <v>-0.73019775180373681</v>
      </c>
      <c r="E131" s="177" t="s">
        <v>670</v>
      </c>
    </row>
    <row r="132" spans="2:5">
      <c r="B132" s="6">
        <f t="shared" si="2"/>
        <v>44</v>
      </c>
      <c r="C132" s="8">
        <f t="shared" si="4"/>
        <v>-2.1828236137887189</v>
      </c>
      <c r="D132" s="8">
        <f t="shared" si="4"/>
        <v>0.12924086324335493</v>
      </c>
      <c r="E132" s="177" t="s">
        <v>670</v>
      </c>
    </row>
    <row r="133" spans="2:5">
      <c r="B133" s="6">
        <f t="shared" si="2"/>
        <v>45</v>
      </c>
      <c r="C133" s="8">
        <f t="shared" si="4"/>
        <v>-2.5895687676100083</v>
      </c>
      <c r="D133" s="8">
        <f t="shared" si="4"/>
        <v>0.21922665537197625</v>
      </c>
      <c r="E133" s="177" t="s">
        <v>670</v>
      </c>
    </row>
    <row r="134" spans="2:5">
      <c r="B134" s="6">
        <f t="shared" si="2"/>
        <v>46</v>
      </c>
      <c r="C134" s="8">
        <f t="shared" si="4"/>
        <v>-1.919535722647693</v>
      </c>
      <c r="D134" s="8">
        <f t="shared" si="4"/>
        <v>4.4848587377307901E-3</v>
      </c>
      <c r="E134" s="177" t="s">
        <v>670</v>
      </c>
    </row>
    <row r="135" spans="2:5">
      <c r="B135" s="6">
        <f t="shared" si="2"/>
        <v>47</v>
      </c>
      <c r="C135" s="8">
        <f t="shared" si="4"/>
        <v>-1.8058752682874046</v>
      </c>
      <c r="D135" s="8">
        <f t="shared" si="4"/>
        <v>0.44397132417124635</v>
      </c>
      <c r="E135" s="177" t="s">
        <v>670</v>
      </c>
    </row>
    <row r="136" spans="2:5">
      <c r="B136" s="6">
        <f t="shared" si="2"/>
        <v>48</v>
      </c>
      <c r="C136" s="8">
        <f t="shared" si="4"/>
        <v>-0.7179970355746027</v>
      </c>
      <c r="D136" s="8">
        <f t="shared" si="4"/>
        <v>4.4362183938506869E-2</v>
      </c>
      <c r="E136" s="177" t="s">
        <v>670</v>
      </c>
    </row>
    <row r="137" spans="2:5">
      <c r="B137" s="6">
        <f t="shared" si="2"/>
        <v>49</v>
      </c>
      <c r="C137" s="8">
        <f t="shared" ref="C137:D145" si="5">(C62-C$80)/C$81</f>
        <v>-0.2477628988428705</v>
      </c>
      <c r="D137" s="8">
        <f t="shared" si="5"/>
        <v>-0.46844119064302958</v>
      </c>
      <c r="E137" s="177" t="s">
        <v>670</v>
      </c>
    </row>
    <row r="138" spans="2:5">
      <c r="B138" s="6">
        <f t="shared" si="2"/>
        <v>50</v>
      </c>
      <c r="C138" s="8">
        <f t="shared" si="5"/>
        <v>-0.59833277235012861</v>
      </c>
      <c r="D138" s="8">
        <f t="shared" si="5"/>
        <v>6.0168381520767061E-2</v>
      </c>
      <c r="E138" s="177" t="s">
        <v>670</v>
      </c>
    </row>
    <row r="139" spans="2:5">
      <c r="B139" s="6">
        <f t="shared" si="2"/>
        <v>51</v>
      </c>
      <c r="C139" s="8">
        <f t="shared" si="5"/>
        <v>-0.1466634948722603</v>
      </c>
      <c r="D139" s="8">
        <f t="shared" si="5"/>
        <v>-1.0136056523687589</v>
      </c>
      <c r="E139" s="177" t="s">
        <v>670</v>
      </c>
    </row>
    <row r="140" spans="2:5">
      <c r="B140" s="6">
        <f t="shared" si="2"/>
        <v>52</v>
      </c>
      <c r="C140" s="8">
        <f t="shared" si="5"/>
        <v>-0.81345794053245057</v>
      </c>
      <c r="D140" s="8">
        <f t="shared" si="5"/>
        <v>-0.82009421507761504</v>
      </c>
      <c r="E140" s="177" t="s">
        <v>670</v>
      </c>
    </row>
    <row r="141" spans="2:5">
      <c r="B141" s="6">
        <f t="shared" si="2"/>
        <v>53</v>
      </c>
      <c r="C141" s="8">
        <f t="shared" si="5"/>
        <v>-0.68039678946220605</v>
      </c>
      <c r="D141" s="8">
        <f t="shared" si="5"/>
        <v>-0.89859106033377723</v>
      </c>
      <c r="E141" s="177" t="s">
        <v>670</v>
      </c>
    </row>
    <row r="142" spans="2:5">
      <c r="B142" s="6">
        <f t="shared" si="2"/>
        <v>54</v>
      </c>
      <c r="C142" s="8">
        <f t="shared" si="5"/>
        <v>-0.77591919728763703</v>
      </c>
      <c r="D142" s="8">
        <f t="shared" si="5"/>
        <v>0.24765937304321045</v>
      </c>
      <c r="E142" s="177" t="s">
        <v>670</v>
      </c>
    </row>
    <row r="143" spans="2:5">
      <c r="B143" s="6">
        <f t="shared" si="2"/>
        <v>55</v>
      </c>
      <c r="C143" s="8">
        <f t="shared" si="5"/>
        <v>-0.83880174576431288</v>
      </c>
      <c r="D143" s="8">
        <f t="shared" si="5"/>
        <v>-0.48460289117574701</v>
      </c>
      <c r="E143" s="177" t="s">
        <v>670</v>
      </c>
    </row>
    <row r="144" spans="2:5">
      <c r="B144" s="6">
        <f t="shared" si="2"/>
        <v>56</v>
      </c>
      <c r="C144" s="8">
        <f t="shared" si="5"/>
        <v>-0.15219340556964991</v>
      </c>
      <c r="D144" s="8">
        <f t="shared" si="5"/>
        <v>-0.20992822021262628</v>
      </c>
      <c r="E144" s="177" t="s">
        <v>670</v>
      </c>
    </row>
    <row r="145" spans="1:13">
      <c r="B145" s="6">
        <f t="shared" si="2"/>
        <v>57</v>
      </c>
      <c r="C145" s="8">
        <f t="shared" si="5"/>
        <v>0.20384566232894802</v>
      </c>
      <c r="D145" s="8">
        <f t="shared" si="5"/>
        <v>-1.368099183261426</v>
      </c>
      <c r="E145" s="177" t="s">
        <v>670</v>
      </c>
    </row>
    <row r="149" spans="1:13">
      <c r="A149" s="24" t="s">
        <v>721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2" spans="1:13">
      <c r="B152" s="6" t="s">
        <v>716</v>
      </c>
      <c r="C152" s="6" t="s">
        <v>256</v>
      </c>
      <c r="D152" s="6" t="s">
        <v>708</v>
      </c>
    </row>
    <row r="153" spans="1:13">
      <c r="B153" s="6" t="s">
        <v>668</v>
      </c>
      <c r="C153" s="168">
        <f>AVERAGE(C14:C32)</f>
        <v>19.878760111760158</v>
      </c>
      <c r="D153" s="8">
        <f>AVERAGE(D14:D32)</f>
        <v>1.3474645620200227</v>
      </c>
    </row>
    <row r="154" spans="1:13">
      <c r="B154" s="6" t="s">
        <v>669</v>
      </c>
      <c r="C154" s="8">
        <f>AVERAGE(C33:C51)</f>
        <v>23.073478124695754</v>
      </c>
      <c r="D154" s="8">
        <f>AVERAGE(D33:D51)</f>
        <v>2.8048997135489548</v>
      </c>
    </row>
    <row r="155" spans="1:13">
      <c r="B155" s="6" t="s">
        <v>670</v>
      </c>
      <c r="C155" s="8">
        <f>AVERAGE(C52:C70)</f>
        <v>14.49431317479419</v>
      </c>
      <c r="D155" s="8">
        <f>AVERAGE(D52:D70)</f>
        <v>1.6041321327961264</v>
      </c>
    </row>
    <row r="157" spans="1:13">
      <c r="B157" s="6" t="s">
        <v>716</v>
      </c>
      <c r="C157" s="6" t="s">
        <v>710</v>
      </c>
      <c r="D157" s="6" t="s">
        <v>711</v>
      </c>
    </row>
    <row r="158" spans="1:13">
      <c r="B158" s="6" t="s">
        <v>717</v>
      </c>
      <c r="C158" s="8">
        <f>AVERAGE(C89:C107)</f>
        <v>0.13851787873301294</v>
      </c>
      <c r="D158" s="8">
        <f>AVERAGE(D89:D107)</f>
        <v>-0.61482402784515966</v>
      </c>
    </row>
    <row r="159" spans="1:13">
      <c r="B159" s="6" t="s">
        <v>718</v>
      </c>
      <c r="C159" s="8">
        <f>AVERAGE(C108:C126)</f>
        <v>0.74479232317997057</v>
      </c>
      <c r="D159" s="8">
        <f>AVERAGE(D108:D126)</f>
        <v>0.95345914187261871</v>
      </c>
    </row>
    <row r="160" spans="1:13">
      <c r="B160" s="6" t="s">
        <v>719</v>
      </c>
      <c r="C160" s="8">
        <f>AVERAGE(C127:C145)</f>
        <v>-0.88331020191298204</v>
      </c>
      <c r="D160" s="8">
        <f>AVERAGE(D127:D145)</f>
        <v>-0.33863511402745966</v>
      </c>
    </row>
    <row r="164" spans="1:13">
      <c r="A164" s="24" t="s">
        <v>722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7" spans="1:13">
      <c r="E167" s="6" t="s">
        <v>700</v>
      </c>
      <c r="G167" s="6" t="s">
        <v>701</v>
      </c>
    </row>
    <row r="168" spans="1:13">
      <c r="C168" s="1"/>
      <c r="D168" s="1"/>
      <c r="E168" s="6" t="s">
        <v>668</v>
      </c>
      <c r="F168" s="1"/>
      <c r="G168" s="6" t="s">
        <v>723</v>
      </c>
      <c r="H168" s="1"/>
    </row>
    <row r="169" spans="1:13">
      <c r="B169" s="6" t="s">
        <v>539</v>
      </c>
      <c r="C169" s="168">
        <f>CORREL(C89:C107,D89:D107)</f>
        <v>-0.82582702545276399</v>
      </c>
      <c r="D169" s="6" t="s">
        <v>244</v>
      </c>
      <c r="E169" s="168">
        <f>_xlfn.VAR.P(C89:C107)</f>
        <v>0.26626919281980976</v>
      </c>
      <c r="F169" s="168">
        <f>_xlfn.COVARIANCE.P(C89:C107,D89:D107)</f>
        <v>-0.30883412211110484</v>
      </c>
      <c r="G169" s="168">
        <f t="array" ref="G169:H170">MINVERSE(E169:F170)</f>
        <v>11.809694911393198</v>
      </c>
      <c r="H169" s="168">
        <v>6.944044643918474</v>
      </c>
    </row>
    <row r="170" spans="1:13">
      <c r="B170" s="6" t="s">
        <v>397</v>
      </c>
      <c r="C170" s="8">
        <f>COUNTIF(E89:E145,"=risk")</f>
        <v>19</v>
      </c>
      <c r="D170" s="168">
        <f>MDETERM(E169:F170)</f>
        <v>4.4474674047722138E-2</v>
      </c>
      <c r="E170" s="168">
        <f>F169</f>
        <v>-0.30883412211110484</v>
      </c>
      <c r="F170" s="168">
        <f>_xlfn.VAR.P(D89:D107)</f>
        <v>0.52523233178725515</v>
      </c>
      <c r="G170" s="168">
        <v>6.944044643918474</v>
      </c>
      <c r="H170" s="168">
        <v>5.9869846945724232</v>
      </c>
    </row>
    <row r="171" spans="1:13">
      <c r="C171" s="1"/>
      <c r="E171" s="6" t="s">
        <v>669</v>
      </c>
      <c r="F171" s="1"/>
      <c r="G171" s="6" t="s">
        <v>723</v>
      </c>
      <c r="H171" s="1"/>
    </row>
    <row r="172" spans="1:13">
      <c r="B172" s="6" t="s">
        <v>539</v>
      </c>
      <c r="C172" s="168">
        <f>CORREL(C108:C126,D108:D126)</f>
        <v>-0.89073630963800932</v>
      </c>
      <c r="D172" s="6" t="s">
        <v>244</v>
      </c>
      <c r="E172" s="168">
        <f>_xlfn.VAR.P(C108:C126)</f>
        <v>0.78274693410940521</v>
      </c>
      <c r="F172" s="168">
        <f>_xlfn.COVARIANCE.P(C108:C126,D108:D126)</f>
        <v>-0.72736280336570169</v>
      </c>
      <c r="G172" s="168">
        <f t="array" ref="G172:H173">MINVERSE(E172:F173)</f>
        <v>6.184032960275931</v>
      </c>
      <c r="H172" s="168">
        <v>5.280078692938825</v>
      </c>
    </row>
    <row r="173" spans="1:13">
      <c r="B173" s="6" t="s">
        <v>397</v>
      </c>
      <c r="C173" s="8">
        <f>COUNTIF(E89:E145,"=ill")</f>
        <v>19</v>
      </c>
      <c r="D173" s="168">
        <f>MDETERM(E172:F173)</f>
        <v>0.13775605358655379</v>
      </c>
      <c r="E173" s="168">
        <f>F172</f>
        <v>-0.72736280336570169</v>
      </c>
      <c r="F173" s="168">
        <f>_xlfn.VAR.P(D108:D126)</f>
        <v>0.85188797585678599</v>
      </c>
      <c r="G173" s="168">
        <v>5.280078692938825</v>
      </c>
      <c r="H173" s="168">
        <v>5.6821236797234169</v>
      </c>
    </row>
    <row r="174" spans="1:13">
      <c r="C174" s="1"/>
      <c r="E174" s="6" t="s">
        <v>670</v>
      </c>
      <c r="F174" s="1"/>
      <c r="G174" s="6" t="s">
        <v>723</v>
      </c>
      <c r="H174" s="1"/>
    </row>
    <row r="175" spans="1:13">
      <c r="B175" s="6" t="s">
        <v>539</v>
      </c>
      <c r="C175" s="168">
        <f>CORREL(C127:C145,D127:D145)</f>
        <v>-0.58015490866074104</v>
      </c>
      <c r="D175" s="6" t="s">
        <v>244</v>
      </c>
      <c r="E175" s="168">
        <f>_xlfn.VAR.P(C127:C145)</f>
        <v>0.59684415287070902</v>
      </c>
      <c r="F175" s="168">
        <f>_xlfn.COVARIANCE.P(C127:C145,D127:D145)</f>
        <v>-0.2107568079719811</v>
      </c>
      <c r="G175" s="168">
        <f t="array" ref="G175:H176">MINVERSE(E175:F176)</f>
        <v>2.5255170911412046</v>
      </c>
      <c r="H175" s="168">
        <v>2.407229990359872</v>
      </c>
    </row>
    <row r="176" spans="1:13">
      <c r="B176" s="6" t="s">
        <v>397</v>
      </c>
      <c r="C176" s="8">
        <f>COUNTIF(E89:E145,"=normal")</f>
        <v>19</v>
      </c>
      <c r="D176" s="168">
        <f t="array" ref="D176">MDETERM(E175:F176)</f>
        <v>8.7551587848269427E-2</v>
      </c>
      <c r="E176" s="168">
        <f>F175</f>
        <v>-0.2107568079719811</v>
      </c>
      <c r="F176" s="168">
        <f>_xlfn.VAR.P(D127:D145)</f>
        <v>0.22111303146735506</v>
      </c>
      <c r="G176" s="168">
        <v>2.407229990359872</v>
      </c>
      <c r="H176" s="168">
        <v>6.8170568637209064</v>
      </c>
    </row>
    <row r="180" spans="1:13">
      <c r="A180" s="24" t="s">
        <v>724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3" spans="1:13">
      <c r="B183" s="177" t="s">
        <v>759</v>
      </c>
      <c r="C183" s="177"/>
      <c r="D183" s="177"/>
      <c r="E183" s="177"/>
      <c r="F183" s="177"/>
    </row>
    <row r="184" spans="1:13">
      <c r="B184" s="6" t="s">
        <v>707</v>
      </c>
      <c r="C184" s="6" t="s">
        <v>668</v>
      </c>
      <c r="D184" s="6" t="s">
        <v>669</v>
      </c>
      <c r="E184" s="6" t="s">
        <v>670</v>
      </c>
      <c r="F184" s="6" t="s">
        <v>709</v>
      </c>
    </row>
    <row r="185" spans="1:13">
      <c r="B185" s="6">
        <v>1</v>
      </c>
      <c r="C185" s="67">
        <f t="array" ref="C185">MMULT(MMULT(C89:D89-$C$158:$D$158,$G$169:$H$170),TRANSPOSE(C89:D89-$C$158:$D$158))</f>
        <v>3.9283424270245231</v>
      </c>
      <c r="D185" s="169">
        <f t="array" ref="D185">MMULT(MMULT(C89:D89-$C$159:$D$159,$G$172:$H$173),TRANSPOSE(C89:D89-$C$159:$D$159))</f>
        <v>10.727753243525747</v>
      </c>
      <c r="E185" s="8">
        <f t="array" ref="E185">MMULT(MMULT(C89:D89-$C$160:$D$160,$G$175:$H$176),TRANSPOSE(C89:D89-$C$160:$D$160))</f>
        <v>9.6004621285568881</v>
      </c>
      <c r="F185" s="177" t="s">
        <v>668</v>
      </c>
    </row>
    <row r="186" spans="1:13">
      <c r="B186" s="6">
        <f t="shared" ref="B186:B241" si="6">B185+1</f>
        <v>2</v>
      </c>
      <c r="C186" s="68">
        <f t="array" ref="C186">MMULT(MMULT(C90:D90-$C$158:$D$158,$G$169:$H$170),TRANSPOSE(C90:D90-$C$158:$D$158))</f>
        <v>1.8234801359175821</v>
      </c>
      <c r="D186" s="169">
        <f t="array" ref="D186">MMULT(MMULT(C90:D90-$C$159:$D$159,$G$172:$H$173),TRANSPOSE(C90:D90-$C$159:$D$159))</f>
        <v>15.492320080430174</v>
      </c>
      <c r="E186" s="8">
        <f t="array" ref="E186">MMULT(MMULT(C90:D90-$C$160:$D$160,$G$175:$H$176),TRANSPOSE(C90:D90-$C$160:$D$160))</f>
        <v>3.9506710223086885</v>
      </c>
      <c r="F186" s="177" t="s">
        <v>668</v>
      </c>
    </row>
    <row r="187" spans="1:13">
      <c r="B187" s="6">
        <f t="shared" si="6"/>
        <v>3</v>
      </c>
      <c r="C187" s="68">
        <f t="array" ref="C187">MMULT(MMULT(C91:D91-$C$158:$D$158,$G$169:$H$170),TRANSPOSE(C91:D91-$C$158:$D$158))</f>
        <v>5.1271132020263606</v>
      </c>
      <c r="D187" s="169">
        <f t="array" ref="D187">MMULT(MMULT(C91:D91-$C$159:$D$159,$G$172:$H$173),TRANSPOSE(C91:D91-$C$159:$D$159))</f>
        <v>49.1595525200742</v>
      </c>
      <c r="E187" s="8">
        <f t="array" ref="E187">MMULT(MMULT(C91:D91-$C$160:$D$160,$G$175:$H$176),TRANSPOSE(C91:D91-$C$160:$D$160))</f>
        <v>1.9747070826311526</v>
      </c>
      <c r="F187" s="177" t="s">
        <v>668</v>
      </c>
    </row>
    <row r="188" spans="1:13">
      <c r="B188" s="6">
        <f t="shared" si="6"/>
        <v>4</v>
      </c>
      <c r="C188" s="68">
        <f t="array" ref="C188">MMULT(MMULT(C92:D92-$C$158:$D$158,$G$169:$H$170),TRANSPOSE(C92:D92-$C$158:$D$158))</f>
        <v>3.7337226579148117</v>
      </c>
      <c r="D188" s="169">
        <f t="array" ref="D188">MMULT(MMULT(C92:D92-$C$159:$D$159,$G$172:$H$173),TRANSPOSE(C92:D92-$C$159:$D$159))</f>
        <v>48.302039998623272</v>
      </c>
      <c r="E188" s="8">
        <f t="array" ref="E188">MMULT(MMULT(C92:D92-$C$160:$D$160,$G$175:$H$176),TRANSPOSE(C92:D92-$C$160:$D$160))</f>
        <v>4.1306307827663167</v>
      </c>
      <c r="F188" s="177" t="s">
        <v>668</v>
      </c>
    </row>
    <row r="189" spans="1:13">
      <c r="B189" s="6">
        <f t="shared" si="6"/>
        <v>5</v>
      </c>
      <c r="C189" s="68">
        <f t="array" ref="C189">MMULT(MMULT(C93:D93-$C$158:$D$158,$G$169:$H$170),TRANSPOSE(C93:D93-$C$158:$D$158))</f>
        <v>2.9264757929838443</v>
      </c>
      <c r="D189" s="169">
        <f t="array" ref="D189">MMULT(MMULT(C93:D93-$C$159:$D$159,$G$172:$H$173),TRANSPOSE(C93:D93-$C$159:$D$159))</f>
        <v>17.191669098533708</v>
      </c>
      <c r="E189" s="8">
        <f t="array" ref="E189">MMULT(MMULT(C93:D93-$C$160:$D$160,$G$175:$H$176),TRANSPOSE(C93:D93-$C$160:$D$160))</f>
        <v>7.5882347684689933</v>
      </c>
      <c r="F189" s="177" t="s">
        <v>668</v>
      </c>
    </row>
    <row r="190" spans="1:13">
      <c r="B190" s="6">
        <f t="shared" si="6"/>
        <v>6</v>
      </c>
      <c r="C190" s="68">
        <f t="array" ref="C190">MMULT(MMULT(C94:D94-$C$158:$D$158,$G$169:$H$170),TRANSPOSE(C94:D94-$C$158:$D$158))</f>
        <v>0.9583696193877953</v>
      </c>
      <c r="D190" s="169">
        <f t="array" ref="D190">MMULT(MMULT(C94:D94-$C$159:$D$159,$G$172:$H$173),TRANSPOSE(C94:D94-$C$159:$D$159))</f>
        <v>18.824203880106694</v>
      </c>
      <c r="E190" s="8">
        <f t="array" ref="E190">MMULT(MMULT(C94:D94-$C$160:$D$160,$G$175:$H$176),TRANSPOSE(C94:D94-$C$160:$D$160))</f>
        <v>3.6844949957149309</v>
      </c>
      <c r="F190" s="177" t="s">
        <v>668</v>
      </c>
    </row>
    <row r="191" spans="1:13">
      <c r="B191" s="6">
        <f t="shared" si="6"/>
        <v>7</v>
      </c>
      <c r="C191" s="68">
        <f t="array" ref="C191">MMULT(MMULT(C95:D95-$C$158:$D$158,$G$169:$H$170),TRANSPOSE(C95:D95-$C$158:$D$158))</f>
        <v>4.7167472076049304</v>
      </c>
      <c r="D191" s="169">
        <f t="array" ref="D191">MMULT(MMULT(C95:D95-$C$159:$D$159,$G$172:$H$173),TRANSPOSE(C95:D95-$C$159:$D$159))</f>
        <v>30.838950766357641</v>
      </c>
      <c r="E191" s="8">
        <f t="array" ref="E191">MMULT(MMULT(C95:D95-$C$160:$D$160,$G$175:$H$176),TRANSPOSE(C95:D95-$C$160:$D$160))</f>
        <v>2.7081855841728437</v>
      </c>
      <c r="F191" s="177" t="s">
        <v>668</v>
      </c>
    </row>
    <row r="192" spans="1:13">
      <c r="B192" s="6">
        <f t="shared" si="6"/>
        <v>8</v>
      </c>
      <c r="C192" s="68">
        <f t="array" ref="C192">MMULT(MMULT(C96:D96-$C$158:$D$158,$G$169:$H$170),TRANSPOSE(C96:D96-$C$158:$D$158))</f>
        <v>4.6724948902069094</v>
      </c>
      <c r="D192" s="169">
        <f t="array" ref="D192">MMULT(MMULT(C96:D96-$C$159:$D$159,$G$172:$H$173),TRANSPOSE(C96:D96-$C$159:$D$159))</f>
        <v>17.733163933621114</v>
      </c>
      <c r="E192" s="8">
        <f t="array" ref="E192">MMULT(MMULT(C96:D96-$C$160:$D$160,$G$175:$H$176),TRANSPOSE(C96:D96-$C$160:$D$160))</f>
        <v>10.405968176363368</v>
      </c>
      <c r="F192" s="177" t="s">
        <v>668</v>
      </c>
    </row>
    <row r="193" spans="2:6">
      <c r="B193" s="6">
        <f t="shared" si="6"/>
        <v>9</v>
      </c>
      <c r="C193" s="68">
        <f t="array" ref="C193">MMULT(MMULT(C97:D97-$C$158:$D$158,$G$169:$H$170),TRANSPOSE(C97:D97-$C$158:$D$158))</f>
        <v>3.3151415788136154</v>
      </c>
      <c r="D193" s="169">
        <f t="array" ref="D193">MMULT(MMULT(C97:D97-$C$159:$D$159,$G$172:$H$173),TRANSPOSE(C97:D97-$C$159:$D$159))</f>
        <v>24.290344882258072</v>
      </c>
      <c r="E193" s="8">
        <f t="array" ref="E193">MMULT(MMULT(C97:D97-$C$160:$D$160,$G$175:$H$176),TRANSPOSE(C97:D97-$C$160:$D$160))</f>
        <v>6.8751536547343743</v>
      </c>
      <c r="F193" s="177" t="s">
        <v>668</v>
      </c>
    </row>
    <row r="194" spans="2:6">
      <c r="B194" s="6">
        <f t="shared" si="6"/>
        <v>10</v>
      </c>
      <c r="C194" s="68">
        <f t="array" ref="C194">MMULT(MMULT(C98:D98-$C$158:$D$158,$G$169:$H$170),TRANSPOSE(C98:D98-$C$158:$D$158))</f>
        <v>0.26988327489163855</v>
      </c>
      <c r="D194" s="169">
        <f t="array" ref="D194">MMULT(MMULT(C98:D98-$C$159:$D$159,$G$172:$H$173),TRANSPOSE(C98:D98-$C$159:$D$159))</f>
        <v>26.796006609737628</v>
      </c>
      <c r="E194" s="8">
        <f t="array" ref="E194">MMULT(MMULT(C98:D98-$C$160:$D$160,$G$175:$H$176),TRANSPOSE(C98:D98-$C$160:$D$160))</f>
        <v>2.8496099675925235</v>
      </c>
      <c r="F194" s="177" t="s">
        <v>668</v>
      </c>
    </row>
    <row r="195" spans="2:6">
      <c r="B195" s="6">
        <f t="shared" si="6"/>
        <v>11</v>
      </c>
      <c r="C195" s="68">
        <f t="array" ref="C195">MMULT(MMULT(C99:D99-$C$158:$D$158,$G$169:$H$170),TRANSPOSE(C99:D99-$C$158:$D$158))</f>
        <v>0.87253840643618685</v>
      </c>
      <c r="D195" s="169">
        <f t="array" ref="D195">MMULT(MMULT(C99:D99-$C$159:$D$159,$G$172:$H$173),TRANSPOSE(C99:D99-$C$159:$D$159))</f>
        <v>29.867467107814925</v>
      </c>
      <c r="E195" s="8">
        <f t="array" ref="E195">MMULT(MMULT(C99:D99-$C$160:$D$160,$G$175:$H$176),TRANSPOSE(C99:D99-$C$160:$D$160))</f>
        <v>4.6075053181129855</v>
      </c>
      <c r="F195" s="177" t="s">
        <v>668</v>
      </c>
    </row>
    <row r="196" spans="2:6">
      <c r="B196" s="6">
        <f t="shared" si="6"/>
        <v>12</v>
      </c>
      <c r="C196" s="68">
        <f t="array" ref="C196">MMULT(MMULT(C100:D100-$C$158:$D$158,$G$169:$H$170),TRANSPOSE(C100:D100-$C$158:$D$158))</f>
        <v>0.20354028403185637</v>
      </c>
      <c r="D196" s="169">
        <f t="array" ref="D196">MMULT(MMULT(C100:D100-$C$159:$D$159,$G$172:$H$173),TRANSPOSE(C100:D100-$C$159:$D$159))</f>
        <v>28.840967715128752</v>
      </c>
      <c r="E196" s="8">
        <f t="array" ref="E196">MMULT(MMULT(C100:D100-$C$160:$D$160,$G$175:$H$176),TRANSPOSE(C100:D100-$C$160:$D$160))</f>
        <v>2.7420861830714869</v>
      </c>
      <c r="F196" s="177" t="s">
        <v>668</v>
      </c>
    </row>
    <row r="197" spans="2:6">
      <c r="B197" s="6">
        <f t="shared" si="6"/>
        <v>13</v>
      </c>
      <c r="C197" s="68">
        <f t="array" ref="C197">MMULT(MMULT(C101:D101-$C$158:$D$158,$G$169:$H$170),TRANSPOSE(C101:D101-$C$158:$D$158))</f>
        <v>1.7323191081662794</v>
      </c>
      <c r="D197" s="169">
        <f t="array" ref="D197">MMULT(MMULT(C101:D101-$C$159:$D$159,$G$172:$H$173),TRANSPOSE(C101:D101-$C$159:$D$159))</f>
        <v>41.396552089769528</v>
      </c>
      <c r="E197" s="8">
        <f t="array" ref="E197">MMULT(MMULT(C101:D101-$C$160:$D$160,$G$175:$H$176),TRANSPOSE(C101:D101-$C$160:$D$160))</f>
        <v>4.7908720634373054</v>
      </c>
      <c r="F197" s="177" t="s">
        <v>668</v>
      </c>
    </row>
    <row r="198" spans="2:6">
      <c r="B198" s="6">
        <f t="shared" si="6"/>
        <v>14</v>
      </c>
      <c r="C198" s="68">
        <f t="array" ref="C198">MMULT(MMULT(C102:D102-$C$158:$D$158,$G$169:$H$170),TRANSPOSE(C102:D102-$C$158:$D$158))</f>
        <v>1.1901645071523623</v>
      </c>
      <c r="D198" s="169">
        <f t="array" ref="D198">MMULT(MMULT(C102:D102-$C$159:$D$159,$G$172:$H$173),TRANSPOSE(C102:D102-$C$159:$D$159))</f>
        <v>19.106087285769775</v>
      </c>
      <c r="E198" s="8">
        <f t="array" ref="E198">MMULT(MMULT(C102:D102-$C$160:$D$160,$G$175:$H$176),TRANSPOSE(C102:D102-$C$160:$D$160))</f>
        <v>3.2606780959581116</v>
      </c>
      <c r="F198" s="177" t="s">
        <v>668</v>
      </c>
    </row>
    <row r="199" spans="2:6">
      <c r="B199" s="6">
        <f t="shared" si="6"/>
        <v>15</v>
      </c>
      <c r="C199" s="68">
        <f t="array" ref="C199">MMULT(MMULT(C103:D103-$C$158:$D$158,$G$169:$H$170),TRANSPOSE(C103:D103-$C$158:$D$158))</f>
        <v>0.24506139554159606</v>
      </c>
      <c r="D199" s="169">
        <f t="array" ref="D199">MMULT(MMULT(C103:D103-$C$159:$D$159,$G$172:$H$173),TRANSPOSE(C103:D103-$C$159:$D$159))</f>
        <v>29.141738374231224</v>
      </c>
      <c r="E199" s="8">
        <f t="array" ref="E199">MMULT(MMULT(C103:D103-$C$160:$D$160,$G$175:$H$176),TRANSPOSE(C103:D103-$C$160:$D$160))</f>
        <v>2.883495711174537</v>
      </c>
      <c r="F199" s="177" t="s">
        <v>668</v>
      </c>
    </row>
    <row r="200" spans="2:6">
      <c r="B200" s="6">
        <f t="shared" si="6"/>
        <v>16</v>
      </c>
      <c r="C200" s="68">
        <f t="array" ref="C200">MMULT(MMULT(C104:D104-$C$158:$D$158,$G$169:$H$170),TRANSPOSE(C104:D104-$C$158:$D$158))</f>
        <v>0.41643360660166034</v>
      </c>
      <c r="D200" s="169">
        <f t="array" ref="D200">MMULT(MMULT(C104:D104-$C$159:$D$159,$G$172:$H$173),TRANSPOSE(C104:D104-$C$159:$D$159))</f>
        <v>24.368420644951293</v>
      </c>
      <c r="E200" s="8">
        <f t="array" ref="E200">MMULT(MMULT(C104:D104-$C$160:$D$160,$G$175:$H$176),TRANSPOSE(C104:D104-$C$160:$D$160))</f>
        <v>2.8752043679521746</v>
      </c>
      <c r="F200" s="177" t="s">
        <v>668</v>
      </c>
    </row>
    <row r="201" spans="2:6">
      <c r="B201" s="6">
        <f t="shared" si="6"/>
        <v>17</v>
      </c>
      <c r="C201" s="68">
        <f t="array" ref="C201">MMULT(MMULT(C105:D105-$C$158:$D$158,$G$169:$H$170),TRANSPOSE(C105:D105-$C$158:$D$158))</f>
        <v>0.56564813665286295</v>
      </c>
      <c r="D201" s="169">
        <f t="array" ref="D201">MMULT(MMULT(C105:D105-$C$159:$D$159,$G$172:$H$173),TRANSPOSE(C105:D105-$C$159:$D$159))</f>
        <v>33.28207372025112</v>
      </c>
      <c r="E201" s="8">
        <f t="array" ref="E201">MMULT(MMULT(C105:D105-$C$160:$D$160,$G$175:$H$176),TRANSPOSE(C105:D105-$C$160:$D$160))</f>
        <v>3.6485285428015457</v>
      </c>
      <c r="F201" s="177" t="s">
        <v>668</v>
      </c>
    </row>
    <row r="202" spans="2:6">
      <c r="B202" s="6">
        <f t="shared" si="6"/>
        <v>18</v>
      </c>
      <c r="C202" s="68">
        <f t="array" ref="C202">MMULT(MMULT(C106:D106-$C$158:$D$158,$G$169:$H$170),TRANSPOSE(C106:D106-$C$158:$D$158))</f>
        <v>0.85194879877226948</v>
      </c>
      <c r="D202" s="169">
        <f t="array" ref="D202">MMULT(MMULT(C106:D106-$C$159:$D$159,$G$172:$H$173),TRANSPOSE(C106:D106-$C$159:$D$159))</f>
        <v>30.24847606683683</v>
      </c>
      <c r="E202" s="8">
        <f t="array" ref="E202">MMULT(MMULT(C106:D106-$C$160:$D$160,$G$175:$H$176),TRANSPOSE(C106:D106-$C$160:$D$160))</f>
        <v>4.6070793545535844</v>
      </c>
      <c r="F202" s="177" t="s">
        <v>668</v>
      </c>
    </row>
    <row r="203" spans="2:6">
      <c r="B203" s="6">
        <f t="shared" si="6"/>
        <v>19</v>
      </c>
      <c r="C203" s="69">
        <f t="array" ref="C203">MMULT(MMULT(C107:D107-$C$158:$D$158,$G$169:$H$170),TRANSPOSE(C107:D107-$C$158:$D$158))</f>
        <v>0.45057496987295353</v>
      </c>
      <c r="D203" s="171">
        <f t="array" ref="D203">MMULT(MMULT(C107:D107-$C$159:$D$159,$G$172:$H$173),TRANSPOSE(C107:D107-$C$159:$D$159))</f>
        <v>29.9080408720984</v>
      </c>
      <c r="E203" s="8">
        <f t="array" ref="E203">MMULT(MMULT(C107:D107-$C$160:$D$160,$G$175:$H$176),TRANSPOSE(C107:D107-$C$160:$D$160))</f>
        <v>3.5399051326604591</v>
      </c>
      <c r="F203" s="177" t="s">
        <v>668</v>
      </c>
    </row>
    <row r="204" spans="2:6">
      <c r="B204" s="6">
        <f t="shared" si="6"/>
        <v>20</v>
      </c>
      <c r="C204" s="170">
        <f t="array" ref="C204">MMULT(MMULT(C108:D108-$C$158:$D$158,$G$169:$H$170),TRANSPOSE(C108:D108-$C$158:$D$158))</f>
        <v>46.749611547508863</v>
      </c>
      <c r="D204" s="67">
        <f t="array" ref="D204">MMULT(MMULT(C108:D108-$C$159:$D$159,$G$172:$H$173),TRANSPOSE(C108:D108-$C$159:$D$159))</f>
        <v>1.3614578487704248</v>
      </c>
      <c r="E204" s="169">
        <f t="array" ref="E204">MMULT(MMULT(C108:D108-$C$160:$D$160,$G$175:$H$176),TRANSPOSE(C108:D108-$C$160:$D$160))</f>
        <v>42.582167838868706</v>
      </c>
      <c r="F204" s="177" t="s">
        <v>669</v>
      </c>
    </row>
    <row r="205" spans="2:6">
      <c r="B205" s="6">
        <f t="shared" si="6"/>
        <v>21</v>
      </c>
      <c r="C205" s="65">
        <f t="array" ref="C205">MMULT(MMULT(C109:D109-$C$158:$D$158,$G$169:$H$170),TRANSPOSE(C109:D109-$C$158:$D$158))</f>
        <v>28.287732700781362</v>
      </c>
      <c r="D205" s="68">
        <f t="array" ref="D205">MMULT(MMULT(C109:D109-$C$159:$D$159,$G$172:$H$173),TRANSPOSE(C109:D109-$C$159:$D$159))</f>
        <v>0.19769343317446963</v>
      </c>
      <c r="E205" s="169">
        <f t="array" ref="E205">MMULT(MMULT(C109:D109-$C$160:$D$160,$G$175:$H$176),TRANSPOSE(C109:D109-$C$160:$D$160))</f>
        <v>23.210727037879515</v>
      </c>
      <c r="F205" s="177" t="s">
        <v>669</v>
      </c>
    </row>
    <row r="206" spans="2:6">
      <c r="B206" s="6">
        <f t="shared" si="6"/>
        <v>22</v>
      </c>
      <c r="C206" s="65">
        <f t="array" ref="C206">MMULT(MMULT(C110:D110-$C$158:$D$158,$G$169:$H$170),TRANSPOSE(C110:D110-$C$158:$D$158))</f>
        <v>34.584558192572082</v>
      </c>
      <c r="D206" s="68">
        <f t="array" ref="D206">MMULT(MMULT(C110:D110-$C$159:$D$159,$G$172:$H$173),TRANSPOSE(C110:D110-$C$159:$D$159))</f>
        <v>0.52458696889933432</v>
      </c>
      <c r="E206" s="169">
        <f t="array" ref="E206">MMULT(MMULT(C110:D110-$C$160:$D$160,$G$175:$H$176),TRANSPOSE(C110:D110-$C$160:$D$160))</f>
        <v>21.035341876319052</v>
      </c>
      <c r="F206" s="177" t="s">
        <v>669</v>
      </c>
    </row>
    <row r="207" spans="2:6">
      <c r="B207" s="6">
        <f t="shared" si="6"/>
        <v>23</v>
      </c>
      <c r="C207" s="65">
        <f t="array" ref="C207">MMULT(MMULT(C111:D111-$C$158:$D$158,$G$169:$H$170),TRANSPOSE(C111:D111-$C$158:$D$158))</f>
        <v>61.502482354357042</v>
      </c>
      <c r="D207" s="68">
        <f t="array" ref="D207">MMULT(MMULT(C111:D111-$C$159:$D$159,$G$172:$H$173),TRANSPOSE(C111:D111-$C$159:$D$159))</f>
        <v>2.4686357280256539</v>
      </c>
      <c r="E207" s="169">
        <f t="array" ref="E207">MMULT(MMULT(C111:D111-$C$160:$D$160,$G$175:$H$176),TRANSPOSE(C111:D111-$C$160:$D$160))</f>
        <v>27.915777942502078</v>
      </c>
      <c r="F207" s="177" t="s">
        <v>669</v>
      </c>
    </row>
    <row r="208" spans="2:6">
      <c r="B208" s="6">
        <f t="shared" si="6"/>
        <v>24</v>
      </c>
      <c r="C208" s="65">
        <f t="array" ref="C208">MMULT(MMULT(C112:D112-$C$158:$D$158,$G$169:$H$170),TRANSPOSE(C112:D112-$C$158:$D$158))</f>
        <v>27.401065542571956</v>
      </c>
      <c r="D208" s="68">
        <f t="array" ref="D208">MMULT(MMULT(C112:D112-$C$159:$D$159,$G$172:$H$173),TRANSPOSE(C112:D112-$C$159:$D$159))</f>
        <v>1.4771980454144518</v>
      </c>
      <c r="E208" s="169">
        <f t="array" ref="E208">MMULT(MMULT(C112:D112-$C$160:$D$160,$G$175:$H$176),TRANSPOSE(C112:D112-$C$160:$D$160))</f>
        <v>45.231423390665235</v>
      </c>
      <c r="F208" s="177" t="s">
        <v>669</v>
      </c>
    </row>
    <row r="209" spans="2:6">
      <c r="B209" s="6">
        <f t="shared" si="6"/>
        <v>25</v>
      </c>
      <c r="C209" s="65">
        <f t="array" ref="C209">MMULT(MMULT(C113:D113-$C$158:$D$158,$G$169:$H$170),TRANSPOSE(C113:D113-$C$158:$D$158))</f>
        <v>23.786457705139085</v>
      </c>
      <c r="D209" s="68">
        <f t="array" ref="D209">MMULT(MMULT(C113:D113-$C$159:$D$159,$G$172:$H$173),TRANSPOSE(C113:D113-$C$159:$D$159))</f>
        <v>4.3935848235348613</v>
      </c>
      <c r="E209" s="169">
        <f t="array" ref="E209">MMULT(MMULT(C113:D113-$C$160:$D$160,$G$175:$H$176),TRANSPOSE(C113:D113-$C$160:$D$160))</f>
        <v>54.180344465493683</v>
      </c>
      <c r="F209" s="177" t="s">
        <v>669</v>
      </c>
    </row>
    <row r="210" spans="2:6">
      <c r="B210" s="6">
        <f t="shared" si="6"/>
        <v>26</v>
      </c>
      <c r="C210" s="65">
        <f t="array" ref="C210">MMULT(MMULT(C114:D114-$C$158:$D$158,$G$169:$H$170),TRANSPOSE(C114:D114-$C$158:$D$158))</f>
        <v>40.635807343186855</v>
      </c>
      <c r="D210" s="68">
        <f t="array" ref="D210">MMULT(MMULT(C114:D114-$C$159:$D$159,$G$172:$H$173),TRANSPOSE(C114:D114-$C$159:$D$159))</f>
        <v>4.957276711858472</v>
      </c>
      <c r="E210" s="169">
        <f t="array" ref="E210">MMULT(MMULT(C114:D114-$C$160:$D$160,$G$175:$H$176),TRANSPOSE(C114:D114-$C$160:$D$160))</f>
        <v>75.907968111895443</v>
      </c>
      <c r="F210" s="177" t="s">
        <v>669</v>
      </c>
    </row>
    <row r="211" spans="2:6">
      <c r="B211" s="6">
        <f t="shared" si="6"/>
        <v>27</v>
      </c>
      <c r="C211" s="65">
        <f t="array" ref="C211">MMULT(MMULT(C115:D115-$C$158:$D$158,$G$169:$H$170),TRANSPOSE(C115:D115-$C$158:$D$158))</f>
        <v>47.280677492735229</v>
      </c>
      <c r="D211" s="68">
        <f t="array" ref="D211">MMULT(MMULT(C115:D115-$C$159:$D$159,$G$172:$H$173),TRANSPOSE(C115:D115-$C$159:$D$159))</f>
        <v>2.4874775898531496</v>
      </c>
      <c r="E211" s="169">
        <f t="array" ref="E211">MMULT(MMULT(C115:D115-$C$160:$D$160,$G$175:$H$176),TRANSPOSE(C115:D115-$C$160:$D$160))</f>
        <v>53.601753299719128</v>
      </c>
      <c r="F211" s="177" t="s">
        <v>669</v>
      </c>
    </row>
    <row r="212" spans="2:6">
      <c r="B212" s="6">
        <f t="shared" si="6"/>
        <v>28</v>
      </c>
      <c r="C212" s="65">
        <f t="array" ref="C212">MMULT(MMULT(C116:D116-$C$158:$D$158,$G$169:$H$170),TRANSPOSE(C116:D116-$C$158:$D$158))</f>
        <v>21.591499150210851</v>
      </c>
      <c r="D212" s="68">
        <f t="array" ref="D212">MMULT(MMULT(C116:D116-$C$159:$D$159,$G$172:$H$173),TRANSPOSE(C116:D116-$C$159:$D$159))</f>
        <v>3.3315445845762115</v>
      </c>
      <c r="E212" s="169">
        <f t="array" ref="E212">MMULT(MMULT(C116:D116-$C$160:$D$160,$G$175:$H$176),TRANSPOSE(C116:D116-$C$160:$D$160))</f>
        <v>46.190598342478303</v>
      </c>
      <c r="F212" s="177" t="s">
        <v>669</v>
      </c>
    </row>
    <row r="213" spans="2:6">
      <c r="B213" s="6">
        <f t="shared" si="6"/>
        <v>29</v>
      </c>
      <c r="C213" s="65">
        <f t="array" ref="C213">MMULT(MMULT(C117:D117-$C$158:$D$158,$G$169:$H$170),TRANSPOSE(C117:D117-$C$158:$D$158))</f>
        <v>10.84937080712943</v>
      </c>
      <c r="D213" s="68">
        <f t="array" ref="D213">MMULT(MMULT(C117:D117-$C$159:$D$159,$G$172:$H$173),TRANSPOSE(C117:D117-$C$159:$D$159))</f>
        <v>4.2210650753021781</v>
      </c>
      <c r="E213" s="169">
        <f t="array" ref="E213">MMULT(MMULT(C117:D117-$C$160:$D$160,$G$175:$H$176),TRANSPOSE(C117:D117-$C$160:$D$160))</f>
        <v>13.372432133788543</v>
      </c>
      <c r="F213" s="177" t="s">
        <v>669</v>
      </c>
    </row>
    <row r="214" spans="2:6">
      <c r="B214" s="6">
        <f t="shared" si="6"/>
        <v>30</v>
      </c>
      <c r="C214" s="65">
        <f t="array" ref="C214">MMULT(MMULT(C118:D118-$C$158:$D$158,$G$169:$H$170),TRANSPOSE(C118:D118-$C$158:$D$158))</f>
        <v>13.760006662611159</v>
      </c>
      <c r="D214" s="68">
        <f t="array" ref="D214">MMULT(MMULT(C118:D118-$C$159:$D$159,$G$172:$H$173),TRANSPOSE(C118:D118-$C$159:$D$159))</f>
        <v>3.927975695716817</v>
      </c>
      <c r="E214" s="169">
        <f t="array" ref="E214">MMULT(MMULT(C118:D118-$C$160:$D$160,$G$175:$H$176),TRANSPOSE(C118:D118-$C$160:$D$160))</f>
        <v>11.763237506545815</v>
      </c>
      <c r="F214" s="177" t="s">
        <v>669</v>
      </c>
    </row>
    <row r="215" spans="2:6">
      <c r="B215" s="6">
        <f t="shared" si="6"/>
        <v>31</v>
      </c>
      <c r="C215" s="65">
        <f t="array" ref="C215">MMULT(MMULT(C119:D119-$C$158:$D$158,$G$169:$H$170),TRANSPOSE(C119:D119-$C$158:$D$158))</f>
        <v>23.864932723803829</v>
      </c>
      <c r="D215" s="68">
        <f t="array" ref="D215">MMULT(MMULT(C119:D119-$C$159:$D$159,$G$172:$H$173),TRANSPOSE(C119:D119-$C$159:$D$159))</f>
        <v>2.4046190940019732</v>
      </c>
      <c r="E215" s="169">
        <f t="array" ref="E215">MMULT(MMULT(C119:D119-$C$160:$D$160,$G$175:$H$176),TRANSPOSE(C119:D119-$C$160:$D$160))</f>
        <v>14.076645098727703</v>
      </c>
      <c r="F215" s="177" t="s">
        <v>669</v>
      </c>
    </row>
    <row r="216" spans="2:6">
      <c r="B216" s="6">
        <f t="shared" si="6"/>
        <v>32</v>
      </c>
      <c r="C216" s="65">
        <f t="array" ref="C216">MMULT(MMULT(C120:D120-$C$158:$D$158,$G$169:$H$170),TRANSPOSE(C120:D120-$C$158:$D$158))</f>
        <v>38.382249063468926</v>
      </c>
      <c r="D216" s="68">
        <f t="array" ref="D216">MMULT(MMULT(C120:D120-$C$159:$D$159,$G$172:$H$173),TRANSPOSE(C120:D120-$C$159:$D$159))</f>
        <v>0.82912004822507757</v>
      </c>
      <c r="E216" s="169">
        <f t="array" ref="E216">MMULT(MMULT(C120:D120-$C$160:$D$160,$G$175:$H$176),TRANSPOSE(C120:D120-$C$160:$D$160))</f>
        <v>20.789463693699876</v>
      </c>
      <c r="F216" s="177" t="s">
        <v>669</v>
      </c>
    </row>
    <row r="217" spans="2:6">
      <c r="B217" s="6">
        <f t="shared" si="6"/>
        <v>33</v>
      </c>
      <c r="C217" s="65">
        <f t="array" ref="C217">MMULT(MMULT(C121:D121-$C$158:$D$158,$G$169:$H$170),TRANSPOSE(C121:D121-$C$158:$D$158))</f>
        <v>48.320884647207329</v>
      </c>
      <c r="D217" s="68">
        <f t="array" ref="D217">MMULT(MMULT(C121:D121-$C$159:$D$159,$G$172:$H$173),TRANSPOSE(C121:D121-$C$159:$D$159))</f>
        <v>0.86253709266762235</v>
      </c>
      <c r="E217" s="169">
        <f t="array" ref="E217">MMULT(MMULT(C121:D121-$C$160:$D$160,$G$175:$H$176),TRANSPOSE(C121:D121-$C$160:$D$160))</f>
        <v>29.519350009195314</v>
      </c>
      <c r="F217" s="177" t="s">
        <v>669</v>
      </c>
    </row>
    <row r="218" spans="2:6">
      <c r="B218" s="6">
        <f t="shared" si="6"/>
        <v>34</v>
      </c>
      <c r="C218" s="65">
        <f t="array" ref="C218">MMULT(MMULT(C122:D122-$C$158:$D$158,$G$169:$H$170),TRANSPOSE(C122:D122-$C$158:$D$158))</f>
        <v>45.239549059644162</v>
      </c>
      <c r="D218" s="68">
        <f t="array" ref="D218">MMULT(MMULT(C122:D122-$C$159:$D$159,$G$172:$H$173),TRANSPOSE(C122:D122-$C$159:$D$159))</f>
        <v>0.79190949948667122</v>
      </c>
      <c r="E218" s="169">
        <f t="array" ref="E218">MMULT(MMULT(C122:D122-$C$160:$D$160,$G$175:$H$176),TRANSPOSE(C122:D122-$C$160:$D$160))</f>
        <v>24.899791057994847</v>
      </c>
      <c r="F218" s="177" t="s">
        <v>669</v>
      </c>
    </row>
    <row r="219" spans="2:6">
      <c r="B219" s="6">
        <f t="shared" si="6"/>
        <v>35</v>
      </c>
      <c r="C219" s="65">
        <f t="array" ref="C219">MMULT(MMULT(C123:D123-$C$158:$D$158,$G$169:$H$170),TRANSPOSE(C123:D123-$C$158:$D$158))</f>
        <v>40.012178556760382</v>
      </c>
      <c r="D219" s="68">
        <f t="array" ref="D219">MMULT(MMULT(C123:D123-$C$159:$D$159,$G$172:$H$173),TRANSPOSE(C123:D123-$C$159:$D$159))</f>
        <v>0.53509174112495239</v>
      </c>
      <c r="E219" s="169">
        <f t="array" ref="E219">MMULT(MMULT(C123:D123-$C$160:$D$160,$G$175:$H$176),TRANSPOSE(C123:D123-$C$160:$D$160))</f>
        <v>23.265320412726147</v>
      </c>
      <c r="F219" s="177" t="s">
        <v>669</v>
      </c>
    </row>
    <row r="220" spans="2:6">
      <c r="B220" s="6">
        <f t="shared" si="6"/>
        <v>36</v>
      </c>
      <c r="C220" s="65">
        <f t="array" ref="C220">MMULT(MMULT(C124:D124-$C$158:$D$158,$G$169:$H$170),TRANSPOSE(C124:D124-$C$158:$D$158))</f>
        <v>35.594645461278247</v>
      </c>
      <c r="D220" s="68">
        <f t="array" ref="D220">MMULT(MMULT(C124:D124-$C$159:$D$159,$G$172:$H$173),TRANSPOSE(C124:D124-$C$159:$D$159))</f>
        <v>0.23986397554653455</v>
      </c>
      <c r="E220" s="169">
        <f t="array" ref="E220">MMULT(MMULT(C124:D124-$C$160:$D$160,$G$175:$H$176),TRANSPOSE(C124:D124-$C$160:$D$160))</f>
        <v>23.668282791776882</v>
      </c>
      <c r="F220" s="177" t="s">
        <v>669</v>
      </c>
    </row>
    <row r="221" spans="2:6">
      <c r="B221" s="6">
        <f t="shared" si="6"/>
        <v>37</v>
      </c>
      <c r="C221" s="65">
        <f t="array" ref="C221">MMULT(MMULT(C125:D125-$C$158:$D$158,$G$169:$H$170),TRANSPOSE(C125:D125-$C$158:$D$158))</f>
        <v>54.138108458601401</v>
      </c>
      <c r="D221" s="68">
        <f t="array" ref="D221">MMULT(MMULT(C125:D125-$C$159:$D$159,$G$172:$H$173),TRANSPOSE(C125:D125-$C$159:$D$159))</f>
        <v>1.7495545287704997</v>
      </c>
      <c r="E221" s="169">
        <f t="array" ref="E221">MMULT(MMULT(C125:D125-$C$160:$D$160,$G$175:$H$176),TRANSPOSE(C125:D125-$C$160:$D$160))</f>
        <v>37.820249842340125</v>
      </c>
      <c r="F221" s="177" t="s">
        <v>669</v>
      </c>
    </row>
    <row r="222" spans="2:6">
      <c r="B222" s="6">
        <f t="shared" si="6"/>
        <v>38</v>
      </c>
      <c r="C222" s="65">
        <f t="array" ref="C222">MMULT(MMULT(C126:D126-$C$158:$D$158,$G$169:$H$170),TRANSPOSE(C126:D126-$C$158:$D$158))</f>
        <v>51.773409719178133</v>
      </c>
      <c r="D222" s="69">
        <f t="array" ref="D222">MMULT(MMULT(C126:D126-$C$159:$D$159,$G$172:$H$173),TRANSPOSE(C126:D126-$C$159:$D$159))</f>
        <v>1.2388075150506157</v>
      </c>
      <c r="E222" s="171">
        <f t="array" ref="E222">MMULT(MMULT(C126:D126-$C$160:$D$160,$G$175:$H$176),TRANSPOSE(C126:D126-$C$160:$D$160))</f>
        <v>28.201372524497341</v>
      </c>
      <c r="F222" s="177" t="s">
        <v>669</v>
      </c>
    </row>
    <row r="223" spans="2:6">
      <c r="B223" s="6">
        <f t="shared" si="6"/>
        <v>39</v>
      </c>
      <c r="C223" s="8">
        <f t="array" ref="C223">MMULT(MMULT(C127:D127-$C$158:$D$158,$G$169:$H$170),TRANSPOSE(C127:D127-$C$158:$D$158))</f>
        <v>16.962428337959714</v>
      </c>
      <c r="D223" s="170">
        <f t="array" ref="D223">MMULT(MMULT(C127:D127-$C$159:$D$159,$G$172:$H$173),TRANSPOSE(C127:D127-$C$159:$D$159))</f>
        <v>60.41980542111726</v>
      </c>
      <c r="E223" s="67">
        <f t="array" ref="E223">MMULT(MMULT(C127:D127-$C$160:$D$160,$G$175:$H$176),TRANSPOSE(C127:D127-$C$160:$D$160))</f>
        <v>0.30121739719764917</v>
      </c>
      <c r="F223" s="177" t="s">
        <v>670</v>
      </c>
    </row>
    <row r="224" spans="2:6">
      <c r="B224" s="6">
        <f t="shared" si="6"/>
        <v>40</v>
      </c>
      <c r="C224" s="8">
        <f t="array" ref="C224">MMULT(MMULT(C128:D128-$C$158:$D$158,$G$169:$H$170),TRANSPOSE(C128:D128-$C$158:$D$158))</f>
        <v>10.535096992417294</v>
      </c>
      <c r="D224" s="65">
        <f t="array" ref="D224">MMULT(MMULT(C128:D128-$C$159:$D$159,$G$172:$H$173),TRANSPOSE(C128:D128-$C$159:$D$159))</f>
        <v>52.532423871569385</v>
      </c>
      <c r="E224" s="68">
        <f t="array" ref="E224">MMULT(MMULT(C128:D128-$C$160:$D$160,$G$175:$H$176),TRANSPOSE(C128:D128-$C$160:$D$160))</f>
        <v>0.11536390227709381</v>
      </c>
      <c r="F224" s="177" t="s">
        <v>670</v>
      </c>
    </row>
    <row r="225" spans="2:6">
      <c r="B225" s="6">
        <f t="shared" si="6"/>
        <v>41</v>
      </c>
      <c r="C225" s="8">
        <f t="array" ref="C225">MMULT(MMULT(C129:D129-$C$158:$D$158,$G$169:$H$170),TRANSPOSE(C129:D129-$C$158:$D$158))</f>
        <v>1.0437315769275379</v>
      </c>
      <c r="D225" s="65">
        <f t="array" ref="D225">MMULT(MMULT(C129:D129-$C$159:$D$159,$G$172:$H$173),TRANSPOSE(C129:D129-$C$159:$D$159))</f>
        <v>31.54062120733677</v>
      </c>
      <c r="E225" s="68">
        <f t="array" ref="E225">MMULT(MMULT(C129:D129-$C$160:$D$160,$G$175:$H$176),TRANSPOSE(C129:D129-$C$160:$D$160))</f>
        <v>0.77753868365501821</v>
      </c>
      <c r="F225" s="177" t="s">
        <v>670</v>
      </c>
    </row>
    <row r="226" spans="2:6">
      <c r="B226" s="6">
        <f t="shared" si="6"/>
        <v>42</v>
      </c>
      <c r="C226" s="8">
        <f t="array" ref="C226">MMULT(MMULT(C130:D130-$C$158:$D$158,$G$169:$H$170),TRANSPOSE(C130:D130-$C$158:$D$158))</f>
        <v>0.88521619729926226</v>
      </c>
      <c r="D226" s="65">
        <f t="array" ref="D226">MMULT(MMULT(C130:D130-$C$159:$D$159,$G$172:$H$173),TRANSPOSE(C130:D130-$C$159:$D$159))</f>
        <v>18.256680072089868</v>
      </c>
      <c r="E226" s="68">
        <f t="array" ref="E226">MMULT(MMULT(C130:D130-$C$160:$D$160,$G$175:$H$176),TRANSPOSE(C130:D130-$C$160:$D$160))</f>
        <v>3.1026549726936108</v>
      </c>
      <c r="F226" s="177" t="s">
        <v>670</v>
      </c>
    </row>
    <row r="227" spans="2:6">
      <c r="B227" s="6">
        <f t="shared" si="6"/>
        <v>43</v>
      </c>
      <c r="C227" s="8">
        <f t="array" ref="C227">MMULT(MMULT(C131:D131-$C$158:$D$158,$G$169:$H$170),TRANSPOSE(C131:D131-$C$158:$D$158))</f>
        <v>30.072389838726227</v>
      </c>
      <c r="D227" s="65">
        <f t="array" ref="D227">MMULT(MMULT(C131:D131-$C$159:$D$159,$G$172:$H$173),TRANSPOSE(C131:D131-$C$159:$D$159))</f>
        <v>82.189213906057006</v>
      </c>
      <c r="E227" s="68">
        <f t="array" ref="E227">MMULT(MMULT(C131:D131-$C$160:$D$160,$G$175:$H$176),TRANSPOSE(C131:D131-$C$160:$D$160))</f>
        <v>2.6430934710175444</v>
      </c>
      <c r="F227" s="177" t="s">
        <v>670</v>
      </c>
    </row>
    <row r="228" spans="2:6">
      <c r="B228" s="6">
        <f t="shared" si="6"/>
        <v>44</v>
      </c>
      <c r="C228" s="8">
        <f t="array" ref="C228">MMULT(MMULT(C132:D132-$C$158:$D$158,$G$169:$H$170),TRANSPOSE(C132:D132-$C$158:$D$158))</f>
        <v>42.964716091668947</v>
      </c>
      <c r="D228" s="65">
        <f t="array" ref="D228">MMULT(MMULT(C132:D132-$C$159:$D$159,$G$172:$H$173),TRANSPOSE(C132:D132-$C$159:$D$159))</f>
        <v>82.34461728026713</v>
      </c>
      <c r="E228" s="68">
        <f t="array" ref="E228">MMULT(MMULT(C132:D132-$C$160:$D$160,$G$175:$H$176),TRANSPOSE(C132:D132-$C$160:$D$160))</f>
        <v>2.8299920390565463</v>
      </c>
      <c r="F228" s="177" t="s">
        <v>670</v>
      </c>
    </row>
    <row r="229" spans="2:6">
      <c r="B229" s="6">
        <f t="shared" si="6"/>
        <v>45</v>
      </c>
      <c r="C229" s="8">
        <f t="array" ref="C229">MMULT(MMULT(C133:D133-$C$158:$D$158,$G$169:$H$170),TRANSPOSE(C133:D133-$C$158:$D$158))</f>
        <v>60.457494890825473</v>
      </c>
      <c r="D229" s="65">
        <f t="array" ref="D229">MMULT(MMULT(C133:D133-$C$159:$D$159,$G$172:$H$173),TRANSPOSE(C133:D133-$C$159:$D$159))</f>
        <v>97.670410442454539</v>
      </c>
      <c r="E229" s="68">
        <f t="array" ref="E229">MMULT(MMULT(C133:D133-$C$160:$D$160,$G$175:$H$176),TRANSPOSE(C133:D133-$C$160:$D$160))</f>
        <v>4.8914440410909457</v>
      </c>
      <c r="F229" s="177" t="s">
        <v>670</v>
      </c>
    </row>
    <row r="230" spans="2:6">
      <c r="B230" s="6">
        <f t="shared" si="6"/>
        <v>46</v>
      </c>
      <c r="C230" s="8">
        <f t="array" ref="C230">MMULT(MMULT(C134:D134-$C$158:$D$158,$G$169:$H$170),TRANSPOSE(C134:D134-$C$158:$D$158))</f>
        <v>34.61587700632537</v>
      </c>
      <c r="D230" s="65">
        <f t="array" ref="D230">MMULT(MMULT(C134:D134-$C$159:$D$159,$G$172:$H$173),TRANSPOSE(C134:D134-$C$159:$D$159))</f>
        <v>75.715375026941089</v>
      </c>
      <c r="E230" s="68">
        <f t="array" ref="E230">MMULT(MMULT(C134:D134-$C$160:$D$160,$G$175:$H$176),TRANSPOSE(C134:D134-$C$160:$D$160))</f>
        <v>1.8026090459609179</v>
      </c>
      <c r="F230" s="177" t="s">
        <v>670</v>
      </c>
    </row>
    <row r="231" spans="2:6">
      <c r="B231" s="6">
        <f t="shared" si="6"/>
        <v>47</v>
      </c>
      <c r="C231" s="8">
        <f t="array" ref="C231">MMULT(MMULT(C135:D135-$C$158:$D$158,$G$169:$H$170),TRANSPOSE(C135:D135-$C$158:$D$158))</f>
        <v>22.768581823133381</v>
      </c>
      <c r="D231" s="65">
        <f t="array" ref="D231">MMULT(MMULT(C135:D135-$C$159:$D$159,$G$172:$H$173),TRANSPOSE(C135:D135-$C$159:$D$159))</f>
        <v>55.430969583313171</v>
      </c>
      <c r="E231" s="68">
        <f t="array" ref="E231">MMULT(MMULT(C135:D135-$C$160:$D$160,$G$175:$H$176),TRANSPOSE(C135:D135-$C$160:$D$160))</f>
        <v>2.8487302652302211</v>
      </c>
      <c r="F231" s="177" t="s">
        <v>670</v>
      </c>
    </row>
    <row r="232" spans="2:6">
      <c r="B232" s="6">
        <f t="shared" si="6"/>
        <v>48</v>
      </c>
      <c r="C232" s="8">
        <f t="array" ref="C232">MMULT(MMULT(C136:D136-$C$158:$D$158,$G$169:$H$170),TRANSPOSE(C136:D136-$C$158:$D$158))</f>
        <v>3.4240512573444946</v>
      </c>
      <c r="D232" s="65">
        <f t="array" ref="D232">MMULT(MMULT(C136:D136-$C$159:$D$159,$G$172:$H$173),TRANSPOSE(C136:D136-$C$159:$D$159))</f>
        <v>31.971414323834033</v>
      </c>
      <c r="E232" s="68">
        <f t="array" ref="E232">MMULT(MMULT(C136:D136-$C$160:$D$160,$G$175:$H$176),TRANSPOSE(C136:D136-$C$160:$D$160))</f>
        <v>1.3738167017712468</v>
      </c>
      <c r="F232" s="177" t="s">
        <v>670</v>
      </c>
    </row>
    <row r="233" spans="2:6">
      <c r="B233" s="6">
        <f t="shared" si="6"/>
        <v>49</v>
      </c>
      <c r="C233" s="8">
        <f t="array" ref="C233">MMULT(MMULT(C137:D137-$C$158:$D$158,$G$169:$H$170),TRANSPOSE(C137:D137-$C$158:$D$158))</f>
        <v>1.105146536837109</v>
      </c>
      <c r="D233" s="65">
        <f t="array" ref="D233">MMULT(MMULT(C137:D137-$C$159:$D$159,$G$172:$H$173),TRANSPOSE(C137:D137-$C$159:$D$159))</f>
        <v>32.484123315941758</v>
      </c>
      <c r="E233" s="68">
        <f t="array" ref="E233">MMULT(MMULT(C137:D137-$C$160:$D$160,$G$175:$H$176),TRANSPOSE(C137:D137-$C$160:$D$160))</f>
        <v>0.73778976265274521</v>
      </c>
      <c r="F233" s="177" t="s">
        <v>670</v>
      </c>
    </row>
    <row r="234" spans="2:6">
      <c r="B234" s="6">
        <f t="shared" si="6"/>
        <v>50</v>
      </c>
      <c r="C234" s="8">
        <f t="array" ref="C234">MMULT(MMULT(C138:D138-$C$158:$D$158,$G$169:$H$170),TRANSPOSE(C138:D138-$C$158:$D$158))</f>
        <v>2.2323197253444613</v>
      </c>
      <c r="D234" s="65">
        <f t="array" ref="D234">MMULT(MMULT(C138:D138-$C$159:$D$159,$G$172:$H$173),TRANSPOSE(C138:D138-$C$159:$D$159))</f>
        <v>28.360147782732511</v>
      </c>
      <c r="E234" s="68">
        <f t="array" ref="E234">MMULT(MMULT(C138:D138-$C$160:$D$160,$G$175:$H$176),TRANSPOSE(C138:D138-$C$160:$D$160))</f>
        <v>1.8364795354371883</v>
      </c>
      <c r="F234" s="177" t="s">
        <v>670</v>
      </c>
    </row>
    <row r="235" spans="2:6">
      <c r="B235" s="6">
        <f t="shared" si="6"/>
        <v>51</v>
      </c>
      <c r="C235" s="8">
        <f t="array" ref="C235">MMULT(MMULT(C139:D139-$C$158:$D$158,$G$169:$H$170),TRANSPOSE(C139:D139-$C$158:$D$158))</f>
        <v>3.4919789253397999</v>
      </c>
      <c r="D235" s="65">
        <f t="array" ref="D235">MMULT(MMULT(C139:D139-$C$159:$D$159,$G$172:$H$173),TRANSPOSE(C139:D139-$C$159:$D$159))</f>
        <v>45.4182795685049</v>
      </c>
      <c r="E235" s="68">
        <f t="array" ref="E235">MMULT(MMULT(C139:D139-$C$160:$D$160,$G$175:$H$176),TRANSPOSE(C139:D139-$C$160:$D$160))</f>
        <v>2.0823972644574549</v>
      </c>
      <c r="F235" s="177" t="s">
        <v>670</v>
      </c>
    </row>
    <row r="236" spans="2:6">
      <c r="B236" s="6">
        <f t="shared" si="6"/>
        <v>52</v>
      </c>
      <c r="C236" s="8">
        <f t="array" ref="C236">MMULT(MMULT(C140:D140-$C$158:$D$158,$G$169:$H$170),TRANSPOSE(C140:D140-$C$158:$D$158))</f>
        <v>13.668799552446137</v>
      </c>
      <c r="D236" s="65">
        <f t="array" ref="D236">MMULT(MMULT(C140:D140-$C$159:$D$159,$G$172:$H$173),TRANSPOSE(C140:D140-$C$159:$D$159))</f>
        <v>62.07326681814699</v>
      </c>
      <c r="E236" s="68">
        <f t="array" ref="E236">MMULT(MMULT(C140:D140-$C$160:$D$160,$G$175:$H$176),TRANSPOSE(C140:D140-$C$160:$D$160))</f>
        <v>1.4306210339884549</v>
      </c>
      <c r="F236" s="177" t="s">
        <v>670</v>
      </c>
    </row>
    <row r="237" spans="2:6">
      <c r="B237" s="6">
        <f t="shared" si="6"/>
        <v>53</v>
      </c>
      <c r="C237" s="8">
        <f t="array" ref="C237">MMULT(MMULT(C141:D141-$C$158:$D$158,$G$169:$H$170),TRANSPOSE(C141:D141-$C$158:$D$158))</f>
        <v>11.629254375566296</v>
      </c>
      <c r="D237" s="65">
        <f t="array" ref="D237">MMULT(MMULT(C141:D141-$C$159:$D$159,$G$172:$H$173),TRANSPOSE(C141:D141-$C$159:$D$159))</f>
        <v>59.924745967843549</v>
      </c>
      <c r="E237" s="68">
        <f t="array" ref="E237">MMULT(MMULT(C141:D141-$C$160:$D$160,$G$175:$H$176),TRANSPOSE(C141:D141-$C$160:$D$160))</f>
        <v>1.6944466352563361</v>
      </c>
      <c r="F237" s="177" t="s">
        <v>670</v>
      </c>
    </row>
    <row r="238" spans="2:6">
      <c r="B238" s="6">
        <f t="shared" si="6"/>
        <v>54</v>
      </c>
      <c r="C238" s="8">
        <f t="array" ref="C238">MMULT(MMULT(C142:D142-$C$158:$D$158,$G$169:$H$170),TRANSPOSE(C142:D142-$C$158:$D$158))</f>
        <v>3.3754410155491668</v>
      </c>
      <c r="D238" s="65">
        <f t="array" ref="D238">MMULT(MMULT(C142:D142-$C$159:$D$159,$G$172:$H$173),TRANSPOSE(C142:D142-$C$159:$D$159))</f>
        <v>28.465943133932079</v>
      </c>
      <c r="E238" s="68">
        <f t="array" ref="E238">MMULT(MMULT(C142:D142-$C$160:$D$160,$G$175:$H$176),TRANSPOSE(C142:D142-$C$160:$D$160))</f>
        <v>2.6755614942962627</v>
      </c>
      <c r="F238" s="177" t="s">
        <v>670</v>
      </c>
    </row>
    <row r="239" spans="2:6">
      <c r="B239" s="6">
        <f t="shared" si="6"/>
        <v>55</v>
      </c>
      <c r="C239" s="8">
        <f t="array" ref="C239">MMULT(MMULT(C143:D143-$C$158:$D$158,$G$169:$H$170),TRANSPOSE(C143:D143-$C$158:$D$158))</f>
        <v>9.6140929428002533</v>
      </c>
      <c r="D239" s="65">
        <f t="array" ref="D239">MMULT(MMULT(C143:D143-$C$159:$D$159,$G$172:$H$173),TRANSPOSE(C143:D143-$C$159:$D$159))</f>
        <v>51.30760765386222</v>
      </c>
      <c r="E239" s="68">
        <f t="array" ref="E239">MMULT(MMULT(C143:D143-$C$160:$D$160,$G$175:$H$176),TRANSPOSE(C143:D143-$C$160:$D$160))</f>
        <v>0.11897271953057466</v>
      </c>
      <c r="F239" s="177" t="s">
        <v>670</v>
      </c>
    </row>
    <row r="240" spans="2:6">
      <c r="B240" s="6">
        <f t="shared" si="6"/>
        <v>56</v>
      </c>
      <c r="C240" s="8">
        <f t="array" ref="C240">MMULT(MMULT(C144:D144-$C$158:$D$158,$G$169:$H$170),TRANSPOSE(C144:D144-$C$158:$D$158))</f>
        <v>0.34484713735541161</v>
      </c>
      <c r="D240" s="65">
        <f t="array" ref="D240">MMULT(MMULT(C144:D144-$C$159:$D$159,$G$172:$H$173),TRANSPOSE(C144:D144-$C$159:$D$159))</f>
        <v>23.686121352026181</v>
      </c>
      <c r="E240" s="68">
        <f t="array" ref="E240">MMULT(MMULT(C144:D144-$C$160:$D$160,$G$175:$H$176),TRANSPOSE(C144:D144-$C$160:$D$160))</f>
        <v>1.9159364200828835</v>
      </c>
      <c r="F240" s="177" t="s">
        <v>670</v>
      </c>
    </row>
    <row r="241" spans="1:13">
      <c r="B241" s="6">
        <f t="shared" si="6"/>
        <v>57</v>
      </c>
      <c r="C241" s="8">
        <f t="array" ref="C241">MMULT(MMULT(C145:D145-$C$158:$D$158,$G$169:$H$170),TRANSPOSE(C145:D145-$C$158:$D$158))</f>
        <v>2.7641259865588403</v>
      </c>
      <c r="D241" s="65">
        <f t="array" ref="D241">MMULT(MMULT(C145:D145-$C$159:$D$159,$G$172:$H$173),TRANSPOSE(C145:D145-$C$159:$D$159))</f>
        <v>45.696013544087009</v>
      </c>
      <c r="E241" s="69">
        <f t="array" ref="E241">MMULT(MMULT(C145:D145-$C$160:$D$160,$G$175:$H$176),TRANSPOSE(C145:D145-$C$160:$D$160))</f>
        <v>4.8213346143472986</v>
      </c>
      <c r="F241" s="177" t="s">
        <v>670</v>
      </c>
    </row>
    <row r="245" spans="1:13">
      <c r="A245" s="18" t="s">
        <v>760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8" spans="1:13">
      <c r="B248" s="177" t="s">
        <v>761</v>
      </c>
      <c r="C248" s="177"/>
      <c r="D248" s="177"/>
      <c r="E248" s="177"/>
      <c r="F248" s="177"/>
    </row>
    <row r="249" spans="1:13">
      <c r="B249" s="6" t="s">
        <v>707</v>
      </c>
      <c r="C249" s="6" t="s">
        <v>668</v>
      </c>
      <c r="D249" s="6" t="s">
        <v>669</v>
      </c>
      <c r="E249" s="6" t="s">
        <v>670</v>
      </c>
      <c r="F249" s="6" t="s">
        <v>709</v>
      </c>
    </row>
    <row r="250" spans="1:13">
      <c r="B250" s="6">
        <v>1</v>
      </c>
      <c r="C250" s="179">
        <f>1/(2*PI()*SQRT($D$170))*EXP(-0.5*C185)</f>
        <v>0.1058607642911106</v>
      </c>
      <c r="D250" s="180">
        <f>1/(2*PI()*SQRT($D$173))*EXP(-0.5*D185)</f>
        <v>2.0079956463532047E-3</v>
      </c>
      <c r="E250" s="181">
        <f>1/(2*PI()*SQRT($D$176))*EXP(-0.5*E185)</f>
        <v>4.4256213658596198E-3</v>
      </c>
      <c r="F250" s="177" t="s">
        <v>668</v>
      </c>
    </row>
    <row r="251" spans="1:13">
      <c r="B251" s="6">
        <f t="shared" ref="B251:B306" si="7">B250+1</f>
        <v>2</v>
      </c>
      <c r="C251" s="182">
        <f t="shared" ref="C251:C306" si="8">1/(2*PI()*SQRT($D$170))*EXP(-0.5*C186)</f>
        <v>0.30324947961198645</v>
      </c>
      <c r="D251" s="180">
        <f t="shared" ref="D251:D306" si="9">1/(2*PI()*SQRT($D$173))*EXP(-0.5*D186)</f>
        <v>1.8541728770116295E-4</v>
      </c>
      <c r="E251" s="181">
        <f t="shared" ref="E251:E306" si="10">1/(2*PI()*SQRT($D$176))*EXP(-0.5*E186)</f>
        <v>7.4612364943604445E-2</v>
      </c>
      <c r="F251" s="177" t="s">
        <v>668</v>
      </c>
    </row>
    <row r="252" spans="1:13">
      <c r="B252" s="6">
        <f t="shared" si="7"/>
        <v>3</v>
      </c>
      <c r="C252" s="182">
        <f t="shared" si="8"/>
        <v>5.8133337747119034E-2</v>
      </c>
      <c r="D252" s="180">
        <f t="shared" si="9"/>
        <v>9.0657468792711588E-12</v>
      </c>
      <c r="E252" s="181">
        <f t="shared" si="10"/>
        <v>0.20039455801490691</v>
      </c>
      <c r="F252" s="177" t="s">
        <v>668</v>
      </c>
    </row>
    <row r="253" spans="1:13">
      <c r="B253" s="6">
        <f t="shared" si="7"/>
        <v>4</v>
      </c>
      <c r="C253" s="182">
        <f t="shared" si="8"/>
        <v>0.11667993300099028</v>
      </c>
      <c r="D253" s="180">
        <f t="shared" si="9"/>
        <v>1.3919065138688417E-11</v>
      </c>
      <c r="E253" s="181">
        <f t="shared" si="10"/>
        <v>6.8191939121207551E-2</v>
      </c>
      <c r="F253" s="177" t="s">
        <v>668</v>
      </c>
    </row>
    <row r="254" spans="1:13">
      <c r="B254" s="6">
        <f t="shared" si="7"/>
        <v>5</v>
      </c>
      <c r="C254" s="182">
        <f t="shared" si="8"/>
        <v>0.17469786624701145</v>
      </c>
      <c r="D254" s="180">
        <f t="shared" si="9"/>
        <v>7.9275916799278614E-5</v>
      </c>
      <c r="E254" s="181">
        <f t="shared" si="10"/>
        <v>1.2103859519646118E-2</v>
      </c>
      <c r="F254" s="177" t="s">
        <v>668</v>
      </c>
    </row>
    <row r="255" spans="1:13">
      <c r="B255" s="6">
        <f t="shared" si="7"/>
        <v>6</v>
      </c>
      <c r="C255" s="182">
        <f t="shared" si="8"/>
        <v>0.46736525848941618</v>
      </c>
      <c r="D255" s="180">
        <f t="shared" si="9"/>
        <v>3.5046193106857879E-5</v>
      </c>
      <c r="E255" s="181">
        <f t="shared" si="10"/>
        <v>8.523347508132853E-2</v>
      </c>
      <c r="F255" s="177" t="s">
        <v>668</v>
      </c>
    </row>
    <row r="256" spans="1:13">
      <c r="B256" s="6">
        <f t="shared" si="7"/>
        <v>7</v>
      </c>
      <c r="C256" s="182">
        <f t="shared" si="8"/>
        <v>7.1373189094083675E-2</v>
      </c>
      <c r="D256" s="180">
        <f t="shared" si="9"/>
        <v>8.6232646030603911E-8</v>
      </c>
      <c r="E256" s="181">
        <f t="shared" si="10"/>
        <v>0.1388714885201815</v>
      </c>
      <c r="F256" s="177" t="s">
        <v>668</v>
      </c>
    </row>
    <row r="257" spans="2:6">
      <c r="B257" s="6">
        <f t="shared" si="7"/>
        <v>8</v>
      </c>
      <c r="C257" s="182">
        <f t="shared" si="8"/>
        <v>7.2970004149379056E-2</v>
      </c>
      <c r="D257" s="180">
        <f t="shared" si="9"/>
        <v>6.0472394255801223E-5</v>
      </c>
      <c r="E257" s="181">
        <f t="shared" si="10"/>
        <v>2.9584268763308717E-3</v>
      </c>
      <c r="F257" s="177" t="s">
        <v>668</v>
      </c>
    </row>
    <row r="258" spans="2:6">
      <c r="B258" s="6">
        <f t="shared" si="7"/>
        <v>9</v>
      </c>
      <c r="C258" s="182">
        <f t="shared" si="8"/>
        <v>0.1438433859780798</v>
      </c>
      <c r="D258" s="180">
        <f t="shared" si="9"/>
        <v>2.2786803767777726E-6</v>
      </c>
      <c r="E258" s="181">
        <f t="shared" si="10"/>
        <v>1.7288904323863739E-2</v>
      </c>
      <c r="F258" s="177" t="s">
        <v>668</v>
      </c>
    </row>
    <row r="259" spans="2:6">
      <c r="B259" s="6">
        <f t="shared" si="7"/>
        <v>10</v>
      </c>
      <c r="C259" s="182">
        <f t="shared" si="8"/>
        <v>0.65941578072656026</v>
      </c>
      <c r="D259" s="180">
        <f t="shared" si="9"/>
        <v>6.510073344196086E-7</v>
      </c>
      <c r="E259" s="181">
        <f t="shared" si="10"/>
        <v>0.12939073382701191</v>
      </c>
      <c r="F259" s="177" t="s">
        <v>668</v>
      </c>
    </row>
    <row r="260" spans="2:6">
      <c r="B260" s="6">
        <f t="shared" si="7"/>
        <v>11</v>
      </c>
      <c r="C260" s="182">
        <f t="shared" si="8"/>
        <v>0.48785913018506577</v>
      </c>
      <c r="D260" s="180">
        <f t="shared" si="9"/>
        <v>1.4016084549083129E-7</v>
      </c>
      <c r="E260" s="181">
        <f t="shared" si="10"/>
        <v>5.3725572333231136E-2</v>
      </c>
      <c r="F260" s="177" t="s">
        <v>668</v>
      </c>
    </row>
    <row r="261" spans="2:6">
      <c r="B261" s="6">
        <f t="shared" si="7"/>
        <v>12</v>
      </c>
      <c r="C261" s="182">
        <f t="shared" si="8"/>
        <v>0.68165642669267901</v>
      </c>
      <c r="D261" s="180">
        <f t="shared" si="9"/>
        <v>2.3416836281206658E-7</v>
      </c>
      <c r="E261" s="181">
        <f t="shared" si="10"/>
        <v>0.1365374127304359</v>
      </c>
      <c r="F261" s="177" t="s">
        <v>668</v>
      </c>
    </row>
    <row r="262" spans="2:6">
      <c r="B262" s="6">
        <f t="shared" si="7"/>
        <v>13</v>
      </c>
      <c r="C262" s="182">
        <f t="shared" si="8"/>
        <v>0.31739160093575669</v>
      </c>
      <c r="D262" s="180">
        <f t="shared" si="9"/>
        <v>4.3966076789714758E-10</v>
      </c>
      <c r="E262" s="181">
        <f t="shared" si="10"/>
        <v>4.9018889450985204E-2</v>
      </c>
      <c r="F262" s="177" t="s">
        <v>668</v>
      </c>
    </row>
    <row r="263" spans="2:6">
      <c r="B263" s="6">
        <f t="shared" si="7"/>
        <v>14</v>
      </c>
      <c r="C263" s="182">
        <f t="shared" si="8"/>
        <v>0.41621986661970589</v>
      </c>
      <c r="D263" s="180">
        <f t="shared" si="9"/>
        <v>3.0439018585869386E-5</v>
      </c>
      <c r="E263" s="181">
        <f t="shared" si="10"/>
        <v>0.10535153457236429</v>
      </c>
      <c r="F263" s="177" t="s">
        <v>668</v>
      </c>
    </row>
    <row r="264" spans="2:6">
      <c r="B264" s="6">
        <f t="shared" si="7"/>
        <v>15</v>
      </c>
      <c r="C264" s="182">
        <f t="shared" si="8"/>
        <v>0.66765074632922328</v>
      </c>
      <c r="D264" s="180">
        <f t="shared" si="9"/>
        <v>2.0147292926616518E-7</v>
      </c>
      <c r="E264" s="181">
        <f t="shared" si="10"/>
        <v>0.12721695028123578</v>
      </c>
      <c r="F264" s="177" t="s">
        <v>668</v>
      </c>
    </row>
    <row r="265" spans="2:6">
      <c r="B265" s="6">
        <f t="shared" si="7"/>
        <v>16</v>
      </c>
      <c r="C265" s="182">
        <f t="shared" si="8"/>
        <v>0.61282480543143258</v>
      </c>
      <c r="D265" s="180">
        <f t="shared" si="9"/>
        <v>2.191439452034101E-6</v>
      </c>
      <c r="E265" s="181">
        <f t="shared" si="10"/>
        <v>0.12774544470572588</v>
      </c>
      <c r="F265" s="177" t="s">
        <v>668</v>
      </c>
    </row>
    <row r="266" spans="2:6">
      <c r="B266" s="6">
        <f t="shared" si="7"/>
        <v>17</v>
      </c>
      <c r="C266" s="182">
        <f t="shared" si="8"/>
        <v>0.56876755255193656</v>
      </c>
      <c r="D266" s="180">
        <f t="shared" si="9"/>
        <v>2.5418756675079726E-8</v>
      </c>
      <c r="E266" s="181">
        <f t="shared" si="10"/>
        <v>8.6780113054658284E-2</v>
      </c>
      <c r="F266" s="177" t="s">
        <v>668</v>
      </c>
    </row>
    <row r="267" spans="2:6">
      <c r="B267" s="6">
        <f t="shared" si="7"/>
        <v>18</v>
      </c>
      <c r="C267" s="182">
        <f t="shared" si="8"/>
        <v>0.49290748555548802</v>
      </c>
      <c r="D267" s="180">
        <f t="shared" si="9"/>
        <v>1.1584883329288442E-7</v>
      </c>
      <c r="E267" s="181">
        <f t="shared" si="10"/>
        <v>5.3737016119857858E-2</v>
      </c>
      <c r="F267" s="177" t="s">
        <v>668</v>
      </c>
    </row>
    <row r="268" spans="2:6">
      <c r="B268" s="6">
        <f t="shared" si="7"/>
        <v>19</v>
      </c>
      <c r="C268" s="183">
        <f t="shared" si="8"/>
        <v>0.60245225343192954</v>
      </c>
      <c r="D268" s="184">
        <f t="shared" si="9"/>
        <v>1.3734606701337708E-7</v>
      </c>
      <c r="E268" s="181">
        <f t="shared" si="10"/>
        <v>9.1623628201345036E-2</v>
      </c>
      <c r="F268" s="177" t="s">
        <v>668</v>
      </c>
    </row>
    <row r="269" spans="2:6">
      <c r="B269" s="6">
        <f t="shared" si="7"/>
        <v>20</v>
      </c>
      <c r="C269" s="185">
        <f t="shared" si="8"/>
        <v>5.3237123489111064E-11</v>
      </c>
      <c r="D269" s="179">
        <f t="shared" si="9"/>
        <v>0.21708407720419584</v>
      </c>
      <c r="E269" s="180">
        <f t="shared" si="10"/>
        <v>3.0485116443824501E-10</v>
      </c>
      <c r="F269" s="177" t="s">
        <v>669</v>
      </c>
    </row>
    <row r="270" spans="2:6">
      <c r="B270" s="6">
        <f t="shared" si="7"/>
        <v>21</v>
      </c>
      <c r="C270" s="186">
        <f t="shared" si="8"/>
        <v>5.4345130499324558E-7</v>
      </c>
      <c r="D270" s="182">
        <f t="shared" si="9"/>
        <v>0.38845096236879928</v>
      </c>
      <c r="E270" s="180">
        <f t="shared" si="10"/>
        <v>4.9039132781944168E-6</v>
      </c>
      <c r="F270" s="177" t="s">
        <v>669</v>
      </c>
    </row>
    <row r="271" spans="2:6">
      <c r="B271" s="6">
        <f t="shared" si="7"/>
        <v>22</v>
      </c>
      <c r="C271" s="186">
        <f t="shared" si="8"/>
        <v>2.3325037662674314E-8</v>
      </c>
      <c r="D271" s="182">
        <f t="shared" si="9"/>
        <v>0.32987710334448345</v>
      </c>
      <c r="E271" s="180">
        <f t="shared" si="10"/>
        <v>1.4551965863232569E-5</v>
      </c>
      <c r="F271" s="177" t="s">
        <v>669</v>
      </c>
    </row>
    <row r="272" spans="2:6">
      <c r="B272" s="6">
        <f t="shared" si="7"/>
        <v>23</v>
      </c>
      <c r="C272" s="186">
        <f t="shared" si="8"/>
        <v>3.3317268578229758E-14</v>
      </c>
      <c r="D272" s="182">
        <f t="shared" si="9"/>
        <v>0.1247979202866127</v>
      </c>
      <c r="E272" s="180">
        <f t="shared" si="10"/>
        <v>4.6650248223871951E-7</v>
      </c>
      <c r="F272" s="177" t="s">
        <v>669</v>
      </c>
    </row>
    <row r="273" spans="2:6">
      <c r="B273" s="6">
        <f t="shared" si="7"/>
        <v>24</v>
      </c>
      <c r="C273" s="186">
        <f t="shared" si="8"/>
        <v>8.4663840123869456E-7</v>
      </c>
      <c r="D273" s="182">
        <f t="shared" si="9"/>
        <v>0.20487799030930254</v>
      </c>
      <c r="E273" s="180">
        <f t="shared" si="10"/>
        <v>8.106050864960706E-11</v>
      </c>
      <c r="F273" s="177" t="s">
        <v>669</v>
      </c>
    </row>
    <row r="274" spans="2:6">
      <c r="B274" s="6">
        <f t="shared" si="7"/>
        <v>25</v>
      </c>
      <c r="C274" s="186">
        <f t="shared" si="8"/>
        <v>5.1594104864652848E-6</v>
      </c>
      <c r="D274" s="182">
        <f t="shared" si="9"/>
        <v>4.7666137668747922E-2</v>
      </c>
      <c r="E274" s="180">
        <f t="shared" si="10"/>
        <v>9.2379541771258136E-13</v>
      </c>
      <c r="F274" s="177" t="s">
        <v>669</v>
      </c>
    </row>
    <row r="275" spans="2:6">
      <c r="B275" s="6">
        <f t="shared" si="7"/>
        <v>26</v>
      </c>
      <c r="C275" s="186">
        <f t="shared" si="8"/>
        <v>1.1319058286885199E-9</v>
      </c>
      <c r="D275" s="182">
        <f t="shared" si="9"/>
        <v>3.5958852531347764E-2</v>
      </c>
      <c r="E275" s="180">
        <f t="shared" si="10"/>
        <v>1.7680000641727353E-17</v>
      </c>
      <c r="F275" s="177" t="s">
        <v>669</v>
      </c>
    </row>
    <row r="276" spans="2:6">
      <c r="B276" s="6">
        <f t="shared" si="7"/>
        <v>27</v>
      </c>
      <c r="C276" s="186">
        <f t="shared" si="8"/>
        <v>4.0822075053443044E-11</v>
      </c>
      <c r="D276" s="182">
        <f t="shared" si="9"/>
        <v>0.12362772850429635</v>
      </c>
      <c r="E276" s="180">
        <f t="shared" si="10"/>
        <v>1.2337162325575887E-12</v>
      </c>
      <c r="F276" s="177" t="s">
        <v>669</v>
      </c>
    </row>
    <row r="277" spans="2:6">
      <c r="B277" s="6">
        <f t="shared" si="7"/>
        <v>28</v>
      </c>
      <c r="C277" s="186">
        <f t="shared" si="8"/>
        <v>1.5460704380797563E-5</v>
      </c>
      <c r="D277" s="182">
        <f t="shared" si="9"/>
        <v>8.1064194311053439E-2</v>
      </c>
      <c r="E277" s="180">
        <f t="shared" si="10"/>
        <v>5.0179592505546397E-11</v>
      </c>
      <c r="F277" s="177" t="s">
        <v>669</v>
      </c>
    </row>
    <row r="278" spans="2:6">
      <c r="B278" s="6">
        <f t="shared" si="7"/>
        <v>29</v>
      </c>
      <c r="C278" s="186">
        <f t="shared" si="8"/>
        <v>3.3254682663618313E-3</v>
      </c>
      <c r="D278" s="182">
        <f t="shared" si="9"/>
        <v>5.1960359875464449E-2</v>
      </c>
      <c r="E278" s="180">
        <f t="shared" si="10"/>
        <v>6.7127639461137586E-4</v>
      </c>
      <c r="F278" s="177" t="s">
        <v>669</v>
      </c>
    </row>
    <row r="279" spans="2:6">
      <c r="B279" s="6">
        <f t="shared" si="7"/>
        <v>30</v>
      </c>
      <c r="C279" s="186">
        <f t="shared" si="8"/>
        <v>7.7591877818800449E-4</v>
      </c>
      <c r="D279" s="182">
        <f t="shared" si="9"/>
        <v>6.0161090586708404E-2</v>
      </c>
      <c r="E279" s="180">
        <f t="shared" si="10"/>
        <v>1.5008370732203869E-3</v>
      </c>
      <c r="F279" s="177" t="s">
        <v>669</v>
      </c>
    </row>
    <row r="280" spans="2:6">
      <c r="B280" s="6">
        <f t="shared" si="7"/>
        <v>31</v>
      </c>
      <c r="C280" s="186">
        <f t="shared" si="8"/>
        <v>4.9608882969331865E-6</v>
      </c>
      <c r="D280" s="182">
        <f t="shared" si="9"/>
        <v>0.12885710902324513</v>
      </c>
      <c r="E280" s="180">
        <f t="shared" si="10"/>
        <v>4.7204507748028324E-4</v>
      </c>
      <c r="F280" s="177" t="s">
        <v>669</v>
      </c>
    </row>
    <row r="281" spans="2:6">
      <c r="B281" s="6">
        <f t="shared" si="7"/>
        <v>32</v>
      </c>
      <c r="C281" s="186">
        <f t="shared" si="8"/>
        <v>3.4927239247155325E-9</v>
      </c>
      <c r="D281" s="182">
        <f t="shared" si="9"/>
        <v>0.2832850490925985</v>
      </c>
      <c r="E281" s="180">
        <f t="shared" si="10"/>
        <v>1.6455589169978437E-5</v>
      </c>
      <c r="F281" s="177" t="s">
        <v>669</v>
      </c>
    </row>
    <row r="282" spans="2:6">
      <c r="B282" s="6">
        <f t="shared" si="7"/>
        <v>33</v>
      </c>
      <c r="C282" s="186">
        <f t="shared" si="8"/>
        <v>2.4267048786037114E-11</v>
      </c>
      <c r="D282" s="182">
        <f t="shared" si="9"/>
        <v>0.27859109824806721</v>
      </c>
      <c r="E282" s="180">
        <f t="shared" si="10"/>
        <v>2.092390352818567E-7</v>
      </c>
      <c r="F282" s="177" t="s">
        <v>669</v>
      </c>
    </row>
    <row r="283" spans="2:6">
      <c r="B283" s="6">
        <f t="shared" si="7"/>
        <v>34</v>
      </c>
      <c r="C283" s="186">
        <f t="shared" si="8"/>
        <v>1.1327145639615631E-10</v>
      </c>
      <c r="D283" s="182">
        <f t="shared" si="9"/>
        <v>0.28860498109315713</v>
      </c>
      <c r="E283" s="180">
        <f t="shared" si="10"/>
        <v>2.1074980898348771E-6</v>
      </c>
      <c r="F283" s="177" t="s">
        <v>669</v>
      </c>
    </row>
    <row r="284" spans="2:6">
      <c r="B284" s="6">
        <f t="shared" si="7"/>
        <v>35</v>
      </c>
      <c r="C284" s="186">
        <f t="shared" si="8"/>
        <v>1.5460714719395948E-9</v>
      </c>
      <c r="D284" s="182">
        <f t="shared" si="9"/>
        <v>0.32814900372400307</v>
      </c>
      <c r="E284" s="180">
        <f t="shared" si="10"/>
        <v>4.7718631549684864E-6</v>
      </c>
      <c r="F284" s="177" t="s">
        <v>669</v>
      </c>
    </row>
    <row r="285" spans="2:6">
      <c r="B285" s="6">
        <f t="shared" si="7"/>
        <v>36</v>
      </c>
      <c r="C285" s="186">
        <f t="shared" si="8"/>
        <v>1.4076176058233065E-8</v>
      </c>
      <c r="D285" s="182">
        <f t="shared" si="9"/>
        <v>0.38034611520961809</v>
      </c>
      <c r="E285" s="180">
        <f t="shared" si="10"/>
        <v>3.9010885814515945E-6</v>
      </c>
      <c r="F285" s="177" t="s">
        <v>669</v>
      </c>
    </row>
    <row r="286" spans="2:6">
      <c r="B286" s="6">
        <f t="shared" si="7"/>
        <v>37</v>
      </c>
      <c r="C286" s="186">
        <f t="shared" si="8"/>
        <v>1.3238014809202477E-12</v>
      </c>
      <c r="D286" s="182">
        <f t="shared" si="9"/>
        <v>0.17879437295118797</v>
      </c>
      <c r="E286" s="180">
        <f t="shared" si="10"/>
        <v>3.2970475669796083E-9</v>
      </c>
      <c r="F286" s="177" t="s">
        <v>669</v>
      </c>
    </row>
    <row r="287" spans="2:6">
      <c r="B287" s="6">
        <f t="shared" si="7"/>
        <v>38</v>
      </c>
      <c r="C287" s="186">
        <f t="shared" si="8"/>
        <v>4.3182787143474131E-12</v>
      </c>
      <c r="D287" s="183">
        <f t="shared" si="9"/>
        <v>0.23081347063810606</v>
      </c>
      <c r="E287" s="184">
        <f t="shared" si="10"/>
        <v>4.0442489688909908E-7</v>
      </c>
      <c r="F287" s="177" t="s">
        <v>669</v>
      </c>
    </row>
    <row r="288" spans="2:6">
      <c r="B288" s="6">
        <f t="shared" si="7"/>
        <v>39</v>
      </c>
      <c r="C288" s="181">
        <f t="shared" si="8"/>
        <v>1.5646573021625405E-4</v>
      </c>
      <c r="D288" s="185">
        <f t="shared" si="9"/>
        <v>3.2529002005444621E-14</v>
      </c>
      <c r="E288" s="179">
        <f t="shared" si="10"/>
        <v>0.46267879033272724</v>
      </c>
      <c r="F288" s="177" t="s">
        <v>670</v>
      </c>
    </row>
    <row r="289" spans="2:6">
      <c r="B289" s="6">
        <f t="shared" si="7"/>
        <v>40</v>
      </c>
      <c r="C289" s="181">
        <f t="shared" si="8"/>
        <v>3.8913159991280652E-3</v>
      </c>
      <c r="D289" s="186">
        <f t="shared" si="9"/>
        <v>1.678780365077576E-12</v>
      </c>
      <c r="E289" s="182">
        <f t="shared" si="10"/>
        <v>0.50773507386435546</v>
      </c>
      <c r="F289" s="177" t="s">
        <v>670</v>
      </c>
    </row>
    <row r="290" spans="2:6">
      <c r="B290" s="6">
        <f t="shared" si="7"/>
        <v>41</v>
      </c>
      <c r="C290" s="181">
        <f t="shared" si="8"/>
        <v>0.4478373512645335</v>
      </c>
      <c r="D290" s="186">
        <f t="shared" si="9"/>
        <v>6.0716385849614167E-8</v>
      </c>
      <c r="E290" s="182">
        <f t="shared" si="10"/>
        <v>0.36462608823512194</v>
      </c>
      <c r="F290" s="177" t="s">
        <v>670</v>
      </c>
    </row>
    <row r="291" spans="2:6">
      <c r="B291" s="6">
        <f t="shared" si="7"/>
        <v>42</v>
      </c>
      <c r="C291" s="181">
        <f t="shared" si="8"/>
        <v>0.48477642297516066</v>
      </c>
      <c r="D291" s="186">
        <f t="shared" si="9"/>
        <v>4.6545433420119526E-5</v>
      </c>
      <c r="E291" s="182">
        <f t="shared" si="10"/>
        <v>0.11401320422207162</v>
      </c>
      <c r="F291" s="177" t="s">
        <v>670</v>
      </c>
    </row>
    <row r="292" spans="2:6">
      <c r="B292" s="6">
        <f t="shared" si="7"/>
        <v>43</v>
      </c>
      <c r="C292" s="181">
        <f t="shared" si="8"/>
        <v>2.2265233930201625E-7</v>
      </c>
      <c r="D292" s="186">
        <f t="shared" si="9"/>
        <v>6.0968252831507779E-19</v>
      </c>
      <c r="E292" s="182">
        <f t="shared" si="10"/>
        <v>0.14346556181333148</v>
      </c>
      <c r="F292" s="177" t="s">
        <v>670</v>
      </c>
    </row>
    <row r="293" spans="2:6">
      <c r="B293" s="6">
        <f t="shared" si="7"/>
        <v>44</v>
      </c>
      <c r="C293" s="181">
        <f t="shared" si="8"/>
        <v>3.5325977431278518E-10</v>
      </c>
      <c r="D293" s="186">
        <f t="shared" si="9"/>
        <v>5.6410290424955306E-19</v>
      </c>
      <c r="E293" s="182">
        <f t="shared" si="10"/>
        <v>0.13066616802959793</v>
      </c>
      <c r="F293" s="177" t="s">
        <v>670</v>
      </c>
    </row>
    <row r="294" spans="2:6">
      <c r="B294" s="6">
        <f t="shared" si="7"/>
        <v>45</v>
      </c>
      <c r="C294" s="181">
        <f t="shared" si="8"/>
        <v>5.6180491497648182E-14</v>
      </c>
      <c r="D294" s="186">
        <f t="shared" si="9"/>
        <v>2.6509689140046441E-22</v>
      </c>
      <c r="E294" s="182">
        <f t="shared" si="10"/>
        <v>4.6614876761719319E-2</v>
      </c>
      <c r="F294" s="177" t="s">
        <v>670</v>
      </c>
    </row>
    <row r="295" spans="2:6">
      <c r="B295" s="6">
        <f t="shared" si="7"/>
        <v>46</v>
      </c>
      <c r="C295" s="181">
        <f t="shared" si="8"/>
        <v>2.2962626386074221E-8</v>
      </c>
      <c r="D295" s="186">
        <f t="shared" si="9"/>
        <v>1.5519581309016538E-17</v>
      </c>
      <c r="E295" s="182">
        <f t="shared" si="10"/>
        <v>0.21840196292078001</v>
      </c>
      <c r="F295" s="177" t="s">
        <v>670</v>
      </c>
    </row>
    <row r="296" spans="2:6">
      <c r="B296" s="6">
        <f t="shared" si="7"/>
        <v>47</v>
      </c>
      <c r="C296" s="181">
        <f t="shared" si="8"/>
        <v>8.5828005713726122E-6</v>
      </c>
      <c r="D296" s="186">
        <f t="shared" si="9"/>
        <v>3.940784415502535E-13</v>
      </c>
      <c r="E296" s="182">
        <f t="shared" si="10"/>
        <v>0.12944765901250302</v>
      </c>
      <c r="F296" s="177" t="s">
        <v>670</v>
      </c>
    </row>
    <row r="297" spans="2:6">
      <c r="B297" s="6">
        <f t="shared" si="7"/>
        <v>48</v>
      </c>
      <c r="C297" s="181">
        <f t="shared" si="8"/>
        <v>0.13621986994534388</v>
      </c>
      <c r="D297" s="186">
        <f t="shared" si="9"/>
        <v>4.8950865566514719E-8</v>
      </c>
      <c r="E297" s="182">
        <f t="shared" si="10"/>
        <v>0.27062481188888526</v>
      </c>
      <c r="F297" s="177" t="s">
        <v>670</v>
      </c>
    </row>
    <row r="298" spans="2:6">
      <c r="B298" s="6">
        <f t="shared" si="7"/>
        <v>49</v>
      </c>
      <c r="C298" s="181">
        <f t="shared" si="8"/>
        <v>0.4342943939987674</v>
      </c>
      <c r="D298" s="186">
        <f t="shared" si="9"/>
        <v>3.7881488225139773E-8</v>
      </c>
      <c r="E298" s="182">
        <f t="shared" si="10"/>
        <v>0.37194532706513844</v>
      </c>
      <c r="F298" s="177" t="s">
        <v>670</v>
      </c>
    </row>
    <row r="299" spans="2:6">
      <c r="B299" s="6">
        <f t="shared" si="7"/>
        <v>50</v>
      </c>
      <c r="C299" s="181">
        <f t="shared" si="8"/>
        <v>0.24718475107052479</v>
      </c>
      <c r="D299" s="186">
        <f t="shared" si="9"/>
        <v>2.9780839861069165E-7</v>
      </c>
      <c r="E299" s="182">
        <f t="shared" si="10"/>
        <v>0.21473441529051893</v>
      </c>
      <c r="F299" s="177" t="s">
        <v>670</v>
      </c>
    </row>
    <row r="300" spans="2:6">
      <c r="B300" s="6">
        <f t="shared" si="7"/>
        <v>51</v>
      </c>
      <c r="C300" s="181">
        <f t="shared" si="8"/>
        <v>0.13167100658241918</v>
      </c>
      <c r="D300" s="186">
        <f t="shared" si="9"/>
        <v>5.8858703053485949E-11</v>
      </c>
      <c r="E300" s="182">
        <f t="shared" si="10"/>
        <v>0.18988965158583254</v>
      </c>
      <c r="F300" s="177" t="s">
        <v>670</v>
      </c>
    </row>
    <row r="301" spans="2:6">
      <c r="B301" s="6">
        <f t="shared" si="7"/>
        <v>52</v>
      </c>
      <c r="C301" s="181">
        <f t="shared" si="8"/>
        <v>8.1212267188746903E-4</v>
      </c>
      <c r="D301" s="186">
        <f t="shared" si="9"/>
        <v>1.4230696578288005E-14</v>
      </c>
      <c r="E301" s="182">
        <f t="shared" si="10"/>
        <v>0.26304660914223477</v>
      </c>
      <c r="F301" s="177" t="s">
        <v>670</v>
      </c>
    </row>
    <row r="302" spans="2:6">
      <c r="B302" s="6">
        <f t="shared" si="7"/>
        <v>53</v>
      </c>
      <c r="C302" s="181">
        <f t="shared" si="8"/>
        <v>2.2516622291268115E-3</v>
      </c>
      <c r="D302" s="186">
        <f t="shared" si="9"/>
        <v>4.1665014149928678E-14</v>
      </c>
      <c r="E302" s="182">
        <f t="shared" si="10"/>
        <v>0.2305386291538242</v>
      </c>
      <c r="F302" s="177" t="s">
        <v>670</v>
      </c>
    </row>
    <row r="303" spans="2:6">
      <c r="B303" s="6">
        <f t="shared" si="7"/>
        <v>54</v>
      </c>
      <c r="C303" s="181">
        <f t="shared" si="8"/>
        <v>0.1395712735052998</v>
      </c>
      <c r="D303" s="186">
        <f t="shared" si="9"/>
        <v>2.8246443431687401E-7</v>
      </c>
      <c r="E303" s="182">
        <f t="shared" si="10"/>
        <v>0.14115534300912094</v>
      </c>
      <c r="F303" s="177" t="s">
        <v>670</v>
      </c>
    </row>
    <row r="304" spans="2:6">
      <c r="B304" s="6">
        <f t="shared" si="7"/>
        <v>55</v>
      </c>
      <c r="C304" s="181">
        <f t="shared" si="8"/>
        <v>6.1672277659200608E-3</v>
      </c>
      <c r="D304" s="186">
        <f t="shared" si="9"/>
        <v>3.0971293472443348E-12</v>
      </c>
      <c r="E304" s="182">
        <f t="shared" si="10"/>
        <v>0.50681973838494621</v>
      </c>
      <c r="F304" s="177" t="s">
        <v>670</v>
      </c>
    </row>
    <row r="305" spans="1:13">
      <c r="B305" s="6">
        <f t="shared" si="7"/>
        <v>56</v>
      </c>
      <c r="C305" s="181">
        <f t="shared" si="8"/>
        <v>0.63515707535506793</v>
      </c>
      <c r="D305" s="186">
        <f t="shared" si="9"/>
        <v>3.0823992111475071E-6</v>
      </c>
      <c r="E305" s="182">
        <f t="shared" si="10"/>
        <v>0.20637059234380559</v>
      </c>
      <c r="F305" s="177" t="s">
        <v>670</v>
      </c>
    </row>
    <row r="306" spans="1:13">
      <c r="B306" s="6">
        <f t="shared" si="7"/>
        <v>57</v>
      </c>
      <c r="C306" s="181">
        <f t="shared" si="8"/>
        <v>0.18947041793745464</v>
      </c>
      <c r="D306" s="186">
        <f t="shared" si="9"/>
        <v>5.1227306519900285E-11</v>
      </c>
      <c r="E306" s="183">
        <f t="shared" si="10"/>
        <v>4.827792647358415E-2</v>
      </c>
      <c r="F306" s="177" t="s">
        <v>670</v>
      </c>
    </row>
    <row r="310" spans="1:13">
      <c r="A310" s="18" t="s">
        <v>762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3" spans="1:13">
      <c r="B313" s="6" t="s">
        <v>763</v>
      </c>
    </row>
    <row r="314" spans="1:13">
      <c r="B314" s="177" t="s">
        <v>668</v>
      </c>
      <c r="C314" s="177" t="s">
        <v>669</v>
      </c>
      <c r="D314" s="177" t="s">
        <v>670</v>
      </c>
    </row>
    <row r="315" spans="1:13">
      <c r="B315" s="178">
        <v>0.11</v>
      </c>
      <c r="C315" s="178">
        <v>0.03</v>
      </c>
      <c r="D315" s="178">
        <v>0.86</v>
      </c>
    </row>
    <row r="319" spans="1:13">
      <c r="A319" s="18" t="s">
        <v>764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2" spans="2:11">
      <c r="B322" s="177" t="s">
        <v>780</v>
      </c>
      <c r="C322" s="177"/>
      <c r="D322" s="177"/>
      <c r="E322" s="177"/>
      <c r="F322" s="177"/>
    </row>
    <row r="323" spans="2:11">
      <c r="B323" s="6" t="s">
        <v>707</v>
      </c>
      <c r="C323" s="6" t="s">
        <v>668</v>
      </c>
      <c r="D323" s="6" t="s">
        <v>669</v>
      </c>
      <c r="E323" s="6" t="s">
        <v>670</v>
      </c>
      <c r="F323" s="6" t="s">
        <v>709</v>
      </c>
      <c r="H323" s="6" t="s">
        <v>766</v>
      </c>
      <c r="I323" s="177" t="s">
        <v>765</v>
      </c>
      <c r="J323" s="177"/>
      <c r="K323" s="177"/>
    </row>
    <row r="324" spans="2:11">
      <c r="B324" s="6">
        <v>1</v>
      </c>
      <c r="C324" s="179">
        <f t="shared" ref="C324:E343" si="11">C250*B$315/SUMPRODUCT($B$315:$D$315,$C250:$E250)</f>
        <v>0.75073917644219801</v>
      </c>
      <c r="D324" s="180">
        <f t="shared" si="11"/>
        <v>3.8836974584771393E-3</v>
      </c>
      <c r="E324" s="181">
        <f t="shared" si="11"/>
        <v>0.24537712609932494</v>
      </c>
      <c r="F324" s="177" t="s">
        <v>668</v>
      </c>
      <c r="H324" s="8">
        <f>SUM(C324:E324)</f>
        <v>1</v>
      </c>
    </row>
    <row r="325" spans="2:11">
      <c r="B325" s="6">
        <f t="shared" ref="B325:B380" si="12">B324+1</f>
        <v>2</v>
      </c>
      <c r="C325" s="182">
        <f t="shared" si="11"/>
        <v>0.34202364589627787</v>
      </c>
      <c r="D325" s="180">
        <f t="shared" si="11"/>
        <v>5.7034135272108662E-5</v>
      </c>
      <c r="E325" s="181">
        <f t="shared" si="11"/>
        <v>0.65791931996844999</v>
      </c>
      <c r="F325" s="177" t="s">
        <v>668</v>
      </c>
      <c r="H325" s="8">
        <f t="shared" ref="H325:H380" si="13">SUM(C325:E325)</f>
        <v>1</v>
      </c>
    </row>
    <row r="326" spans="2:11">
      <c r="B326" s="6">
        <f t="shared" si="12"/>
        <v>3</v>
      </c>
      <c r="C326" s="182">
        <f t="shared" si="11"/>
        <v>3.5777566750991037E-2</v>
      </c>
      <c r="D326" s="180">
        <f t="shared" si="11"/>
        <v>1.5216602666019058E-12</v>
      </c>
      <c r="E326" s="181">
        <f t="shared" si="11"/>
        <v>0.96422243324748724</v>
      </c>
      <c r="F326" s="177" t="s">
        <v>668</v>
      </c>
      <c r="H326" s="8">
        <f t="shared" si="13"/>
        <v>0.99999999999999989</v>
      </c>
    </row>
    <row r="327" spans="2:11">
      <c r="B327" s="6">
        <f t="shared" si="12"/>
        <v>4</v>
      </c>
      <c r="C327" s="182">
        <f t="shared" si="11"/>
        <v>0.17955816618516923</v>
      </c>
      <c r="D327" s="180">
        <f t="shared" si="11"/>
        <v>5.8418126806001982E-12</v>
      </c>
      <c r="E327" s="181">
        <f t="shared" si="11"/>
        <v>0.82044183380898894</v>
      </c>
      <c r="F327" s="177" t="s">
        <v>668</v>
      </c>
      <c r="H327" s="8">
        <f t="shared" si="13"/>
        <v>1</v>
      </c>
    </row>
    <row r="328" spans="2:11">
      <c r="B328" s="6">
        <f t="shared" si="12"/>
        <v>5</v>
      </c>
      <c r="C328" s="182">
        <f t="shared" si="11"/>
        <v>0.64859137135464073</v>
      </c>
      <c r="D328" s="180">
        <f t="shared" si="11"/>
        <v>8.0270026964266393E-5</v>
      </c>
      <c r="E328" s="181">
        <f t="shared" si="11"/>
        <v>0.35132835861839506</v>
      </c>
      <c r="F328" s="177" t="s">
        <v>668</v>
      </c>
      <c r="H328" s="8">
        <f t="shared" si="13"/>
        <v>1</v>
      </c>
    </row>
    <row r="329" spans="2:11">
      <c r="B329" s="6">
        <f t="shared" si="12"/>
        <v>6</v>
      </c>
      <c r="C329" s="182">
        <f t="shared" si="11"/>
        <v>0.41223114738823541</v>
      </c>
      <c r="D329" s="180">
        <f t="shared" si="11"/>
        <v>8.4305089981099506E-6</v>
      </c>
      <c r="E329" s="181">
        <f t="shared" si="11"/>
        <v>0.58776042210276647</v>
      </c>
      <c r="F329" s="177" t="s">
        <v>668</v>
      </c>
      <c r="H329" s="8">
        <f t="shared" si="13"/>
        <v>1</v>
      </c>
    </row>
    <row r="330" spans="2:11">
      <c r="B330" s="6">
        <f t="shared" si="12"/>
        <v>7</v>
      </c>
      <c r="C330" s="182">
        <f t="shared" si="11"/>
        <v>6.1683044402413727E-2</v>
      </c>
      <c r="D330" s="180">
        <f t="shared" si="11"/>
        <v>2.0325019934172816E-8</v>
      </c>
      <c r="E330" s="181">
        <f t="shared" si="11"/>
        <v>0.93831693527256621</v>
      </c>
      <c r="F330" s="177" t="s">
        <v>668</v>
      </c>
      <c r="H330" s="8">
        <f t="shared" si="13"/>
        <v>0.99999999999999989</v>
      </c>
    </row>
    <row r="331" spans="2:11">
      <c r="B331" s="6">
        <f t="shared" si="12"/>
        <v>8</v>
      </c>
      <c r="C331" s="182">
        <f t="shared" si="11"/>
        <v>0.75918673402227499</v>
      </c>
      <c r="D331" s="180">
        <f t="shared" si="11"/>
        <v>1.7158920932491801E-4</v>
      </c>
      <c r="E331" s="181">
        <f t="shared" si="11"/>
        <v>0.24064167676840004</v>
      </c>
      <c r="F331" s="177" t="s">
        <v>668</v>
      </c>
      <c r="H331" s="8">
        <f t="shared" si="13"/>
        <v>1</v>
      </c>
    </row>
    <row r="332" spans="2:11">
      <c r="B332" s="6">
        <f t="shared" si="12"/>
        <v>9</v>
      </c>
      <c r="C332" s="182">
        <f t="shared" si="11"/>
        <v>0.5155458782155975</v>
      </c>
      <c r="D332" s="180">
        <f t="shared" si="11"/>
        <v>2.2273548061833786E-6</v>
      </c>
      <c r="E332" s="181">
        <f t="shared" si="11"/>
        <v>0.48445189442959635</v>
      </c>
      <c r="F332" s="177" t="s">
        <v>668</v>
      </c>
      <c r="H332" s="8">
        <f t="shared" si="13"/>
        <v>1</v>
      </c>
    </row>
    <row r="333" spans="2:11">
      <c r="B333" s="6">
        <f t="shared" si="12"/>
        <v>10</v>
      </c>
      <c r="C333" s="182">
        <f t="shared" si="11"/>
        <v>0.39461961205289869</v>
      </c>
      <c r="D333" s="180">
        <f t="shared" si="11"/>
        <v>1.0625118445515184E-7</v>
      </c>
      <c r="E333" s="181">
        <f t="shared" si="11"/>
        <v>0.60538028169591673</v>
      </c>
      <c r="F333" s="177" t="s">
        <v>668</v>
      </c>
      <c r="H333" s="8">
        <f t="shared" si="13"/>
        <v>0.99999999999999989</v>
      </c>
    </row>
    <row r="334" spans="2:11">
      <c r="B334" s="6">
        <f t="shared" si="12"/>
        <v>11</v>
      </c>
      <c r="C334" s="182">
        <f t="shared" si="11"/>
        <v>0.53735165670000096</v>
      </c>
      <c r="D334" s="180">
        <f t="shared" si="11"/>
        <v>4.2103619598923953E-8</v>
      </c>
      <c r="E334" s="181">
        <f t="shared" si="11"/>
        <v>0.4626483011963794</v>
      </c>
      <c r="F334" s="177" t="s">
        <v>668</v>
      </c>
      <c r="H334" s="8">
        <f t="shared" si="13"/>
        <v>1</v>
      </c>
    </row>
    <row r="335" spans="2:11">
      <c r="B335" s="6">
        <f t="shared" si="12"/>
        <v>12</v>
      </c>
      <c r="C335" s="182">
        <f t="shared" si="11"/>
        <v>0.38971152041388502</v>
      </c>
      <c r="D335" s="180">
        <f t="shared" si="11"/>
        <v>3.6511905597274234E-8</v>
      </c>
      <c r="E335" s="181">
        <f t="shared" si="11"/>
        <v>0.61028844307420926</v>
      </c>
      <c r="F335" s="177" t="s">
        <v>668</v>
      </c>
      <c r="H335" s="8">
        <f t="shared" si="13"/>
        <v>0.99999999999999989</v>
      </c>
    </row>
    <row r="336" spans="2:11">
      <c r="B336" s="6">
        <f t="shared" si="12"/>
        <v>13</v>
      </c>
      <c r="C336" s="182">
        <f t="shared" si="11"/>
        <v>0.45300874109185796</v>
      </c>
      <c r="D336" s="180">
        <f t="shared" si="11"/>
        <v>1.7114232820851296E-10</v>
      </c>
      <c r="E336" s="181">
        <f t="shared" si="11"/>
        <v>0.54699125873699972</v>
      </c>
      <c r="F336" s="177" t="s">
        <v>668</v>
      </c>
      <c r="H336" s="8">
        <f t="shared" si="13"/>
        <v>1</v>
      </c>
    </row>
    <row r="337" spans="2:8">
      <c r="B337" s="6">
        <f t="shared" si="12"/>
        <v>14</v>
      </c>
      <c r="C337" s="182">
        <f t="shared" si="11"/>
        <v>0.33569214757505483</v>
      </c>
      <c r="D337" s="180">
        <f t="shared" si="11"/>
        <v>6.6954164058573062E-6</v>
      </c>
      <c r="E337" s="181">
        <f t="shared" si="11"/>
        <v>0.66430115700853931</v>
      </c>
      <c r="F337" s="177" t="s">
        <v>668</v>
      </c>
      <c r="H337" s="8">
        <f t="shared" si="13"/>
        <v>1</v>
      </c>
    </row>
    <row r="338" spans="2:8">
      <c r="B338" s="6">
        <f t="shared" si="12"/>
        <v>15</v>
      </c>
      <c r="C338" s="182">
        <f t="shared" si="11"/>
        <v>0.40165337148817681</v>
      </c>
      <c r="D338" s="180">
        <f t="shared" si="11"/>
        <v>3.3055775349721897E-8</v>
      </c>
      <c r="E338" s="181">
        <f t="shared" si="11"/>
        <v>0.59834659545604785</v>
      </c>
      <c r="F338" s="177" t="s">
        <v>668</v>
      </c>
      <c r="H338" s="8">
        <f t="shared" si="13"/>
        <v>1</v>
      </c>
    </row>
    <row r="339" spans="2:8">
      <c r="B339" s="6">
        <f t="shared" si="12"/>
        <v>16</v>
      </c>
      <c r="C339" s="182">
        <f t="shared" si="11"/>
        <v>0.38026747287297891</v>
      </c>
      <c r="D339" s="180">
        <f t="shared" si="11"/>
        <v>3.708607634351764E-7</v>
      </c>
      <c r="E339" s="181">
        <f t="shared" si="11"/>
        <v>0.61973215626625766</v>
      </c>
      <c r="F339" s="177" t="s">
        <v>668</v>
      </c>
      <c r="H339" s="8">
        <f t="shared" si="13"/>
        <v>1</v>
      </c>
    </row>
    <row r="340" spans="2:8">
      <c r="B340" s="6">
        <f t="shared" si="12"/>
        <v>17</v>
      </c>
      <c r="C340" s="182">
        <f t="shared" si="11"/>
        <v>0.4560244969088571</v>
      </c>
      <c r="D340" s="180">
        <f t="shared" si="11"/>
        <v>5.558226414029134E-9</v>
      </c>
      <c r="E340" s="181">
        <f t="shared" si="11"/>
        <v>0.54397549753291652</v>
      </c>
      <c r="F340" s="177" t="s">
        <v>668</v>
      </c>
      <c r="H340" s="8">
        <f t="shared" si="13"/>
        <v>1</v>
      </c>
    </row>
    <row r="341" spans="2:8">
      <c r="B341" s="6">
        <f t="shared" si="12"/>
        <v>18</v>
      </c>
      <c r="C341" s="182">
        <f t="shared" si="11"/>
        <v>0.53985708582562608</v>
      </c>
      <c r="D341" s="180">
        <f t="shared" si="11"/>
        <v>3.4604583491683264E-8</v>
      </c>
      <c r="E341" s="181">
        <f t="shared" si="11"/>
        <v>0.46014287956979055</v>
      </c>
      <c r="F341" s="177" t="s">
        <v>668</v>
      </c>
      <c r="H341" s="8">
        <f t="shared" si="13"/>
        <v>1.0000000000000002</v>
      </c>
    </row>
    <row r="342" spans="2:8">
      <c r="B342" s="6">
        <f t="shared" si="12"/>
        <v>19</v>
      </c>
      <c r="C342" s="183">
        <f t="shared" si="11"/>
        <v>0.45682458240701507</v>
      </c>
      <c r="D342" s="184">
        <f t="shared" si="11"/>
        <v>2.8403485022125565E-8</v>
      </c>
      <c r="E342" s="181">
        <f t="shared" si="11"/>
        <v>0.54317538918949981</v>
      </c>
      <c r="F342" s="177" t="s">
        <v>668</v>
      </c>
      <c r="H342" s="8">
        <f t="shared" si="13"/>
        <v>0.99999999999999989</v>
      </c>
    </row>
    <row r="343" spans="2:8">
      <c r="B343" s="6">
        <f t="shared" si="12"/>
        <v>20</v>
      </c>
      <c r="C343" s="185">
        <f t="shared" si="11"/>
        <v>8.9920357405762131E-10</v>
      </c>
      <c r="D343" s="179">
        <f t="shared" si="11"/>
        <v>0.99999995884419879</v>
      </c>
      <c r="E343" s="180">
        <f t="shared" si="11"/>
        <v>4.0256597659223225E-8</v>
      </c>
      <c r="F343" s="177" t="s">
        <v>669</v>
      </c>
      <c r="H343" s="8">
        <f t="shared" si="13"/>
        <v>1</v>
      </c>
    </row>
    <row r="344" spans="2:8">
      <c r="B344" s="6">
        <f t="shared" si="12"/>
        <v>21</v>
      </c>
      <c r="C344" s="186">
        <f t="shared" ref="C344:E363" si="14">C270*B$315/SUMPRODUCT($B$315:$D$315,$C270:$E270)</f>
        <v>5.1278639794281281E-6</v>
      </c>
      <c r="D344" s="182">
        <f t="shared" si="14"/>
        <v>0.9996331089180176</v>
      </c>
      <c r="E344" s="180">
        <f t="shared" si="14"/>
        <v>3.6176321800286644E-4</v>
      </c>
      <c r="F344" s="177" t="s">
        <v>669</v>
      </c>
      <c r="H344" s="8">
        <f t="shared" si="13"/>
        <v>0.99999999999999989</v>
      </c>
    </row>
    <row r="345" spans="2:8">
      <c r="B345" s="6">
        <f t="shared" si="12"/>
        <v>22</v>
      </c>
      <c r="C345" s="186">
        <f t="shared" si="14"/>
        <v>2.5893612571046481E-7</v>
      </c>
      <c r="D345" s="182">
        <f t="shared" si="14"/>
        <v>0.99873675742283552</v>
      </c>
      <c r="E345" s="180">
        <f t="shared" si="14"/>
        <v>1.2629836410388067E-3</v>
      </c>
      <c r="F345" s="177" t="s">
        <v>669</v>
      </c>
      <c r="H345" s="8">
        <f t="shared" si="13"/>
        <v>1</v>
      </c>
    </row>
    <row r="346" spans="2:8">
      <c r="B346" s="6">
        <f t="shared" si="12"/>
        <v>23</v>
      </c>
      <c r="C346" s="186">
        <f t="shared" si="14"/>
        <v>9.7878416955328222E-13</v>
      </c>
      <c r="D346" s="182">
        <f t="shared" si="14"/>
        <v>0.99989285367597835</v>
      </c>
      <c r="E346" s="180">
        <f t="shared" si="14"/>
        <v>1.071463230427643E-4</v>
      </c>
      <c r="F346" s="177" t="s">
        <v>669</v>
      </c>
      <c r="H346" s="8">
        <f t="shared" si="13"/>
        <v>0.99999999999999989</v>
      </c>
    </row>
    <row r="347" spans="2:8">
      <c r="B347" s="6">
        <f t="shared" si="12"/>
        <v>24</v>
      </c>
      <c r="C347" s="186">
        <f t="shared" si="14"/>
        <v>1.5151914209724427E-5</v>
      </c>
      <c r="D347" s="182">
        <f t="shared" si="14"/>
        <v>0.99998483674392113</v>
      </c>
      <c r="E347" s="180">
        <f t="shared" si="14"/>
        <v>1.1341869091931991E-8</v>
      </c>
      <c r="F347" s="177" t="s">
        <v>669</v>
      </c>
      <c r="H347" s="8">
        <f t="shared" si="13"/>
        <v>1</v>
      </c>
    </row>
    <row r="348" spans="2:8">
      <c r="B348" s="6">
        <f t="shared" si="12"/>
        <v>25</v>
      </c>
      <c r="C348" s="186">
        <f t="shared" si="14"/>
        <v>3.9672468111127295E-4</v>
      </c>
      <c r="D348" s="182">
        <f t="shared" si="14"/>
        <v>0.99960327476353361</v>
      </c>
      <c r="E348" s="180">
        <f t="shared" si="14"/>
        <v>5.5535502709137181E-10</v>
      </c>
      <c r="F348" s="177" t="s">
        <v>669</v>
      </c>
      <c r="H348" s="8">
        <f t="shared" si="13"/>
        <v>0.99999999999999989</v>
      </c>
    </row>
    <row r="349" spans="2:8">
      <c r="B349" s="6">
        <f t="shared" si="12"/>
        <v>26</v>
      </c>
      <c r="C349" s="186">
        <f t="shared" si="14"/>
        <v>1.1541861323899018E-7</v>
      </c>
      <c r="D349" s="182">
        <f t="shared" si="14"/>
        <v>0.99999988458137279</v>
      </c>
      <c r="E349" s="180">
        <f t="shared" si="14"/>
        <v>1.4094627355635876E-14</v>
      </c>
      <c r="F349" s="177" t="s">
        <v>669</v>
      </c>
      <c r="H349" s="8">
        <f t="shared" si="13"/>
        <v>1</v>
      </c>
    </row>
    <row r="350" spans="2:8">
      <c r="B350" s="6">
        <f t="shared" si="12"/>
        <v>27</v>
      </c>
      <c r="C350" s="186">
        <f t="shared" si="14"/>
        <v>1.2107392366541663E-9</v>
      </c>
      <c r="D350" s="182">
        <f t="shared" si="14"/>
        <v>0.99999999850318788</v>
      </c>
      <c r="E350" s="180">
        <f t="shared" si="14"/>
        <v>2.8607281210232774E-10</v>
      </c>
      <c r="F350" s="177" t="s">
        <v>669</v>
      </c>
      <c r="H350" s="8">
        <f t="shared" si="13"/>
        <v>1</v>
      </c>
    </row>
    <row r="351" spans="2:8">
      <c r="B351" s="6">
        <f t="shared" si="12"/>
        <v>28</v>
      </c>
      <c r="C351" s="186">
        <f t="shared" si="14"/>
        <v>6.9882434587596677E-4</v>
      </c>
      <c r="D351" s="182">
        <f t="shared" si="14"/>
        <v>0.99930115792155549</v>
      </c>
      <c r="E351" s="180">
        <f t="shared" si="14"/>
        <v>1.7732568522207484E-8</v>
      </c>
      <c r="F351" s="177" t="s">
        <v>669</v>
      </c>
      <c r="H351" s="8">
        <f t="shared" si="13"/>
        <v>1</v>
      </c>
    </row>
    <row r="352" spans="2:8">
      <c r="B352" s="6">
        <f t="shared" si="12"/>
        <v>29</v>
      </c>
      <c r="C352" s="186">
        <f t="shared" si="14"/>
        <v>0.14620889983215304</v>
      </c>
      <c r="D352" s="182">
        <f t="shared" si="14"/>
        <v>0.62304830836944791</v>
      </c>
      <c r="E352" s="180">
        <f t="shared" si="14"/>
        <v>0.23074279179839899</v>
      </c>
      <c r="F352" s="177" t="s">
        <v>669</v>
      </c>
      <c r="H352" s="8">
        <f t="shared" si="13"/>
        <v>0.99999999999999989</v>
      </c>
    </row>
    <row r="353" spans="2:8">
      <c r="B353" s="6">
        <f t="shared" si="12"/>
        <v>30</v>
      </c>
      <c r="C353" s="186">
        <f t="shared" si="14"/>
        <v>2.6832332745055754E-2</v>
      </c>
      <c r="D353" s="182">
        <f t="shared" si="14"/>
        <v>0.56739622038712922</v>
      </c>
      <c r="E353" s="180">
        <f t="shared" si="14"/>
        <v>0.40577144686781502</v>
      </c>
      <c r="F353" s="177" t="s">
        <v>669</v>
      </c>
      <c r="H353" s="8">
        <f t="shared" si="13"/>
        <v>1</v>
      </c>
    </row>
    <row r="354" spans="2:8">
      <c r="B354" s="6">
        <f t="shared" si="12"/>
        <v>31</v>
      </c>
      <c r="C354" s="186">
        <f t="shared" si="14"/>
        <v>1.277317183968739E-4</v>
      </c>
      <c r="D354" s="182">
        <f t="shared" si="14"/>
        <v>0.90484931022795623</v>
      </c>
      <c r="E354" s="180">
        <f t="shared" si="14"/>
        <v>9.5022958053647036E-2</v>
      </c>
      <c r="F354" s="177" t="s">
        <v>669</v>
      </c>
      <c r="H354" s="8">
        <f t="shared" si="13"/>
        <v>1.0000000000000002</v>
      </c>
    </row>
    <row r="355" spans="2:8">
      <c r="B355" s="6">
        <f t="shared" si="12"/>
        <v>32</v>
      </c>
      <c r="C355" s="186">
        <f t="shared" si="14"/>
        <v>4.5132503949204022E-8</v>
      </c>
      <c r="D355" s="182">
        <f t="shared" si="14"/>
        <v>0.99833752102211404</v>
      </c>
      <c r="E355" s="180">
        <f t="shared" si="14"/>
        <v>1.6624338453819364E-3</v>
      </c>
      <c r="F355" s="177" t="s">
        <v>669</v>
      </c>
      <c r="H355" s="8">
        <f t="shared" si="13"/>
        <v>0.99999999999999989</v>
      </c>
    </row>
    <row r="356" spans="2:8">
      <c r="B356" s="6">
        <f t="shared" si="12"/>
        <v>33</v>
      </c>
      <c r="C356" s="186">
        <f t="shared" si="14"/>
        <v>3.1938300862686225E-10</v>
      </c>
      <c r="D356" s="182">
        <f t="shared" si="14"/>
        <v>0.99997846971582938</v>
      </c>
      <c r="E356" s="180">
        <f t="shared" si="14"/>
        <v>2.1529964787664737E-5</v>
      </c>
      <c r="F356" s="177" t="s">
        <v>669</v>
      </c>
      <c r="H356" s="8">
        <f t="shared" si="13"/>
        <v>1</v>
      </c>
    </row>
    <row r="357" spans="2:8">
      <c r="B357" s="6">
        <f t="shared" si="12"/>
        <v>34</v>
      </c>
      <c r="C357" s="186">
        <f t="shared" si="14"/>
        <v>1.4387892645080139E-9</v>
      </c>
      <c r="D357" s="182">
        <f t="shared" si="14"/>
        <v>0.9997907079916305</v>
      </c>
      <c r="E357" s="180">
        <f t="shared" si="14"/>
        <v>2.0929056958033244E-4</v>
      </c>
      <c r="F357" s="177" t="s">
        <v>669</v>
      </c>
      <c r="H357" s="8">
        <f t="shared" si="13"/>
        <v>1.0000000000000002</v>
      </c>
    </row>
    <row r="358" spans="2:8">
      <c r="B358" s="6">
        <f t="shared" si="12"/>
        <v>35</v>
      </c>
      <c r="C358" s="186">
        <f t="shared" si="14"/>
        <v>1.7268272590638248E-8</v>
      </c>
      <c r="D358" s="182">
        <f t="shared" si="14"/>
        <v>0.99958329273394397</v>
      </c>
      <c r="E358" s="180">
        <f t="shared" si="14"/>
        <v>4.1668999778330935E-4</v>
      </c>
      <c r="F358" s="177" t="s">
        <v>669</v>
      </c>
      <c r="H358" s="8">
        <f t="shared" si="13"/>
        <v>0.99999999999999989</v>
      </c>
    </row>
    <row r="359" spans="2:8">
      <c r="B359" s="6">
        <f t="shared" si="12"/>
        <v>36</v>
      </c>
      <c r="C359" s="186">
        <f t="shared" si="14"/>
        <v>1.3565924705049868E-7</v>
      </c>
      <c r="D359" s="182">
        <f t="shared" si="14"/>
        <v>0.99970592596495012</v>
      </c>
      <c r="E359" s="180">
        <f t="shared" si="14"/>
        <v>2.9393837580279794E-4</v>
      </c>
      <c r="F359" s="177" t="s">
        <v>669</v>
      </c>
      <c r="H359" s="8">
        <f t="shared" si="13"/>
        <v>1</v>
      </c>
    </row>
    <row r="360" spans="2:8">
      <c r="B360" s="6">
        <f t="shared" si="12"/>
        <v>37</v>
      </c>
      <c r="C360" s="186">
        <f t="shared" si="14"/>
        <v>2.7148148553033553E-11</v>
      </c>
      <c r="D360" s="182">
        <f t="shared" si="14"/>
        <v>0.99999947134707878</v>
      </c>
      <c r="E360" s="180">
        <f t="shared" si="14"/>
        <v>5.2862577306461994E-7</v>
      </c>
      <c r="F360" s="177" t="s">
        <v>669</v>
      </c>
      <c r="H360" s="8">
        <f t="shared" si="13"/>
        <v>1</v>
      </c>
    </row>
    <row r="361" spans="2:8">
      <c r="B361" s="6">
        <f t="shared" si="12"/>
        <v>38</v>
      </c>
      <c r="C361" s="186">
        <f t="shared" si="14"/>
        <v>6.8596054229941332E-11</v>
      </c>
      <c r="D361" s="183">
        <f t="shared" si="14"/>
        <v>0.99994977352400471</v>
      </c>
      <c r="E361" s="184">
        <f t="shared" si="14"/>
        <v>5.0226407399156419E-5</v>
      </c>
      <c r="F361" s="177" t="s">
        <v>669</v>
      </c>
      <c r="H361" s="8">
        <f t="shared" si="13"/>
        <v>0.99999999999999989</v>
      </c>
    </row>
    <row r="362" spans="2:8">
      <c r="B362" s="6">
        <f t="shared" si="12"/>
        <v>39</v>
      </c>
      <c r="C362" s="181">
        <f t="shared" si="14"/>
        <v>4.3252885828429616E-5</v>
      </c>
      <c r="D362" s="185">
        <f t="shared" si="14"/>
        <v>2.4524217909796688E-15</v>
      </c>
      <c r="E362" s="179">
        <f t="shared" si="14"/>
        <v>0.99995674711416904</v>
      </c>
      <c r="F362" s="177" t="s">
        <v>670</v>
      </c>
      <c r="H362" s="8">
        <f t="shared" si="13"/>
        <v>0.99999999999999989</v>
      </c>
    </row>
    <row r="363" spans="2:8">
      <c r="B363" s="6">
        <f t="shared" si="12"/>
        <v>40</v>
      </c>
      <c r="C363" s="181">
        <f t="shared" si="14"/>
        <v>9.793277110059478E-4</v>
      </c>
      <c r="D363" s="186">
        <f t="shared" si="14"/>
        <v>1.1522693088789661E-13</v>
      </c>
      <c r="E363" s="182">
        <f t="shared" si="14"/>
        <v>0.99902067228887881</v>
      </c>
      <c r="F363" s="177" t="s">
        <v>670</v>
      </c>
      <c r="H363" s="8">
        <f t="shared" si="13"/>
        <v>1</v>
      </c>
    </row>
    <row r="364" spans="2:8">
      <c r="B364" s="6">
        <f t="shared" si="12"/>
        <v>41</v>
      </c>
      <c r="C364" s="181">
        <f t="shared" ref="C364:E380" si="15">C290*B$315/SUMPRODUCT($B$315:$D$315,$C290:$E290)</f>
        <v>0.13576792653310057</v>
      </c>
      <c r="D364" s="186">
        <f t="shared" si="15"/>
        <v>5.0200882835391915E-9</v>
      </c>
      <c r="E364" s="182">
        <f t="shared" si="15"/>
        <v>0.86423206844681111</v>
      </c>
      <c r="F364" s="177" t="s">
        <v>670</v>
      </c>
      <c r="H364" s="8">
        <f t="shared" si="13"/>
        <v>1</v>
      </c>
    </row>
    <row r="365" spans="2:8">
      <c r="B365" s="6">
        <f t="shared" si="12"/>
        <v>42</v>
      </c>
      <c r="C365" s="181">
        <f t="shared" si="15"/>
        <v>0.35226618587635522</v>
      </c>
      <c r="D365" s="186">
        <f t="shared" si="15"/>
        <v>9.2243360352910578E-6</v>
      </c>
      <c r="E365" s="182">
        <f t="shared" si="15"/>
        <v>0.64772458978760961</v>
      </c>
      <c r="F365" s="177" t="s">
        <v>670</v>
      </c>
      <c r="H365" s="8">
        <f t="shared" si="13"/>
        <v>1</v>
      </c>
    </row>
    <row r="366" spans="2:8">
      <c r="B366" s="6">
        <f t="shared" si="12"/>
        <v>43</v>
      </c>
      <c r="C366" s="181">
        <f t="shared" si="15"/>
        <v>1.985060496189659E-7</v>
      </c>
      <c r="D366" s="186">
        <f t="shared" si="15"/>
        <v>1.4824457300511377E-19</v>
      </c>
      <c r="E366" s="182">
        <f t="shared" si="15"/>
        <v>0.9999998014939504</v>
      </c>
      <c r="F366" s="177" t="s">
        <v>670</v>
      </c>
      <c r="H366" s="8">
        <f t="shared" si="13"/>
        <v>1</v>
      </c>
    </row>
    <row r="367" spans="2:8">
      <c r="B367" s="6">
        <f t="shared" si="12"/>
        <v>44</v>
      </c>
      <c r="C367" s="181">
        <f t="shared" si="15"/>
        <v>3.4580022054233723E-10</v>
      </c>
      <c r="D367" s="186">
        <f t="shared" si="15"/>
        <v>1.5059757684569944E-19</v>
      </c>
      <c r="E367" s="182">
        <f t="shared" si="15"/>
        <v>0.99999999965419983</v>
      </c>
      <c r="F367" s="177" t="s">
        <v>670</v>
      </c>
      <c r="H367" s="8">
        <f t="shared" si="13"/>
        <v>1</v>
      </c>
    </row>
    <row r="368" spans="2:8">
      <c r="B368" s="6">
        <f t="shared" si="12"/>
        <v>45</v>
      </c>
      <c r="C368" s="181">
        <f t="shared" si="15"/>
        <v>1.5415415246504836E-13</v>
      </c>
      <c r="D368" s="186">
        <f t="shared" si="15"/>
        <v>1.9838228955007663E-22</v>
      </c>
      <c r="E368" s="182">
        <f t="shared" si="15"/>
        <v>0.99999999999984579</v>
      </c>
      <c r="F368" s="177" t="s">
        <v>670</v>
      </c>
      <c r="H368" s="8">
        <f t="shared" si="13"/>
        <v>0.99999999999999989</v>
      </c>
    </row>
    <row r="369" spans="1:13">
      <c r="B369" s="6">
        <f t="shared" si="12"/>
        <v>46</v>
      </c>
      <c r="C369" s="181">
        <f t="shared" si="15"/>
        <v>1.3448047995412879E-8</v>
      </c>
      <c r="D369" s="186">
        <f t="shared" si="15"/>
        <v>2.4788272450355431E-18</v>
      </c>
      <c r="E369" s="182">
        <f t="shared" si="15"/>
        <v>0.99999998655195199</v>
      </c>
      <c r="F369" s="177" t="s">
        <v>670</v>
      </c>
      <c r="H369" s="8">
        <f t="shared" si="13"/>
        <v>1</v>
      </c>
    </row>
    <row r="370" spans="1:13">
      <c r="B370" s="6">
        <f t="shared" si="12"/>
        <v>47</v>
      </c>
      <c r="C370" s="181">
        <f t="shared" si="15"/>
        <v>8.4805764080986079E-6</v>
      </c>
      <c r="D370" s="186">
        <f t="shared" si="15"/>
        <v>1.061958625030458E-13</v>
      </c>
      <c r="E370" s="182">
        <f t="shared" si="15"/>
        <v>0.99999151942348563</v>
      </c>
      <c r="F370" s="177" t="s">
        <v>670</v>
      </c>
      <c r="H370" s="8">
        <f t="shared" si="13"/>
        <v>0.99999999999999989</v>
      </c>
    </row>
    <row r="371" spans="1:13">
      <c r="B371" s="6">
        <f t="shared" si="12"/>
        <v>48</v>
      </c>
      <c r="C371" s="181">
        <f t="shared" si="15"/>
        <v>6.0488024488714397E-2</v>
      </c>
      <c r="D371" s="186">
        <f t="shared" si="15"/>
        <v>5.9281322634418646E-9</v>
      </c>
      <c r="E371" s="182">
        <f t="shared" si="15"/>
        <v>0.93951196958315331</v>
      </c>
      <c r="F371" s="177" t="s">
        <v>670</v>
      </c>
      <c r="H371" s="8">
        <f t="shared" si="13"/>
        <v>1</v>
      </c>
    </row>
    <row r="372" spans="1:13">
      <c r="B372" s="6">
        <f t="shared" si="12"/>
        <v>49</v>
      </c>
      <c r="C372" s="181">
        <f t="shared" si="15"/>
        <v>0.1299414810849194</v>
      </c>
      <c r="D372" s="186">
        <f t="shared" si="15"/>
        <v>3.0911436743630346E-9</v>
      </c>
      <c r="E372" s="182">
        <f t="shared" si="15"/>
        <v>0.87005851582393701</v>
      </c>
      <c r="F372" s="177" t="s">
        <v>670</v>
      </c>
      <c r="H372" s="8">
        <f t="shared" si="13"/>
        <v>1</v>
      </c>
    </row>
    <row r="373" spans="1:13">
      <c r="B373" s="6">
        <f t="shared" si="12"/>
        <v>50</v>
      </c>
      <c r="C373" s="181">
        <f t="shared" si="15"/>
        <v>0.12833982388606252</v>
      </c>
      <c r="D373" s="186">
        <f t="shared" si="15"/>
        <v>4.2170162487728187E-8</v>
      </c>
      <c r="E373" s="182">
        <f t="shared" si="15"/>
        <v>0.87166013394377506</v>
      </c>
      <c r="F373" s="177" t="s">
        <v>670</v>
      </c>
      <c r="H373" s="8">
        <f t="shared" si="13"/>
        <v>1</v>
      </c>
    </row>
    <row r="374" spans="1:13">
      <c r="B374" s="6">
        <f t="shared" si="12"/>
        <v>51</v>
      </c>
      <c r="C374" s="181">
        <f t="shared" si="15"/>
        <v>8.1466333503571686E-2</v>
      </c>
      <c r="D374" s="186">
        <f t="shared" si="15"/>
        <v>9.9317841634915863E-12</v>
      </c>
      <c r="E374" s="182">
        <f t="shared" si="15"/>
        <v>0.91853366648649648</v>
      </c>
      <c r="F374" s="177" t="s">
        <v>670</v>
      </c>
      <c r="H374" s="8">
        <f t="shared" si="13"/>
        <v>1</v>
      </c>
    </row>
    <row r="375" spans="1:13">
      <c r="B375" s="6">
        <f t="shared" si="12"/>
        <v>52</v>
      </c>
      <c r="C375" s="181">
        <f t="shared" si="15"/>
        <v>3.9474050594634871E-4</v>
      </c>
      <c r="D375" s="186">
        <f t="shared" si="15"/>
        <v>1.8864477772775623E-15</v>
      </c>
      <c r="E375" s="182">
        <f t="shared" si="15"/>
        <v>0.99960525949405177</v>
      </c>
      <c r="F375" s="177" t="s">
        <v>670</v>
      </c>
      <c r="H375" s="8">
        <f t="shared" si="13"/>
        <v>1</v>
      </c>
    </row>
    <row r="376" spans="1:13">
      <c r="B376" s="6">
        <f t="shared" si="12"/>
        <v>53</v>
      </c>
      <c r="C376" s="181">
        <f t="shared" si="15"/>
        <v>1.2477039815752E-3</v>
      </c>
      <c r="D376" s="186">
        <f t="shared" si="15"/>
        <v>6.296633584507631E-15</v>
      </c>
      <c r="E376" s="182">
        <f t="shared" si="15"/>
        <v>0.99875229601841842</v>
      </c>
      <c r="F376" s="177" t="s">
        <v>670</v>
      </c>
      <c r="H376" s="8">
        <f t="shared" si="13"/>
        <v>0.99999999999999989</v>
      </c>
    </row>
    <row r="377" spans="1:13">
      <c r="B377" s="6">
        <f t="shared" si="12"/>
        <v>54</v>
      </c>
      <c r="C377" s="181">
        <f t="shared" si="15"/>
        <v>0.11227231719752741</v>
      </c>
      <c r="D377" s="186">
        <f t="shared" si="15"/>
        <v>6.1968215111725408E-8</v>
      </c>
      <c r="E377" s="182">
        <f t="shared" si="15"/>
        <v>0.88772762083425749</v>
      </c>
      <c r="F377" s="177" t="s">
        <v>670</v>
      </c>
      <c r="H377" s="8">
        <f t="shared" si="13"/>
        <v>1</v>
      </c>
    </row>
    <row r="378" spans="1:13">
      <c r="B378" s="6">
        <f t="shared" si="12"/>
        <v>55</v>
      </c>
      <c r="C378" s="181">
        <f t="shared" si="15"/>
        <v>1.5540152497324088E-3</v>
      </c>
      <c r="D378" s="186">
        <f t="shared" si="15"/>
        <v>2.1283997602210922E-13</v>
      </c>
      <c r="E378" s="182">
        <f t="shared" si="15"/>
        <v>0.99844598475005475</v>
      </c>
      <c r="F378" s="177" t="s">
        <v>670</v>
      </c>
      <c r="H378" s="8">
        <f t="shared" si="13"/>
        <v>1</v>
      </c>
    </row>
    <row r="379" spans="1:13">
      <c r="B379" s="6">
        <f t="shared" si="12"/>
        <v>56</v>
      </c>
      <c r="C379" s="181">
        <f t="shared" si="15"/>
        <v>0.2824676996665707</v>
      </c>
      <c r="D379" s="186">
        <f t="shared" si="15"/>
        <v>3.7385664761035331E-7</v>
      </c>
      <c r="E379" s="182">
        <f t="shared" si="15"/>
        <v>0.71753192647678177</v>
      </c>
      <c r="F379" s="177" t="s">
        <v>670</v>
      </c>
      <c r="H379" s="8">
        <f t="shared" si="13"/>
        <v>1</v>
      </c>
    </row>
    <row r="380" spans="1:13">
      <c r="B380" s="6">
        <f t="shared" si="12"/>
        <v>57</v>
      </c>
      <c r="C380" s="181">
        <f t="shared" si="15"/>
        <v>0.33421249286778537</v>
      </c>
      <c r="D380" s="186">
        <f t="shared" si="15"/>
        <v>2.4644008957309602E-11</v>
      </c>
      <c r="E380" s="183">
        <f t="shared" si="15"/>
        <v>0.66578750710757062</v>
      </c>
      <c r="F380" s="177" t="s">
        <v>670</v>
      </c>
      <c r="H380" s="8">
        <f t="shared" si="13"/>
        <v>1</v>
      </c>
    </row>
    <row r="384" spans="1:13">
      <c r="A384" s="24" t="s">
        <v>767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</row>
    <row r="387" spans="2:6">
      <c r="B387" s="6" t="s">
        <v>707</v>
      </c>
      <c r="C387" s="244" t="s">
        <v>768</v>
      </c>
      <c r="D387" s="244"/>
      <c r="E387" s="244"/>
      <c r="F387" s="6" t="s">
        <v>709</v>
      </c>
    </row>
    <row r="388" spans="2:6">
      <c r="B388" s="6">
        <v>1</v>
      </c>
      <c r="C388" s="187">
        <f t="shared" ref="C388:E407" si="16">IF(C324=MAX($C324:$E324),1,0)</f>
        <v>1</v>
      </c>
      <c r="D388" s="188">
        <f t="shared" si="16"/>
        <v>0</v>
      </c>
      <c r="E388" s="189">
        <f t="shared" si="16"/>
        <v>0</v>
      </c>
      <c r="F388" s="177" t="s">
        <v>668</v>
      </c>
    </row>
    <row r="389" spans="2:6">
      <c r="B389" s="6">
        <f t="shared" ref="B389:B444" si="17">B388+1</f>
        <v>2</v>
      </c>
      <c r="C389" s="190">
        <f t="shared" si="16"/>
        <v>0</v>
      </c>
      <c r="D389" s="188">
        <f t="shared" si="16"/>
        <v>0</v>
      </c>
      <c r="E389" s="189">
        <f t="shared" si="16"/>
        <v>1</v>
      </c>
      <c r="F389" s="177" t="s">
        <v>668</v>
      </c>
    </row>
    <row r="390" spans="2:6">
      <c r="B390" s="6">
        <f t="shared" si="17"/>
        <v>3</v>
      </c>
      <c r="C390" s="190">
        <f t="shared" si="16"/>
        <v>0</v>
      </c>
      <c r="D390" s="188">
        <f t="shared" si="16"/>
        <v>0</v>
      </c>
      <c r="E390" s="189">
        <f t="shared" si="16"/>
        <v>1</v>
      </c>
      <c r="F390" s="177" t="s">
        <v>668</v>
      </c>
    </row>
    <row r="391" spans="2:6">
      <c r="B391" s="6">
        <f t="shared" si="17"/>
        <v>4</v>
      </c>
      <c r="C391" s="190">
        <f t="shared" si="16"/>
        <v>0</v>
      </c>
      <c r="D391" s="188">
        <f t="shared" si="16"/>
        <v>0</v>
      </c>
      <c r="E391" s="189">
        <f t="shared" si="16"/>
        <v>1</v>
      </c>
      <c r="F391" s="177" t="s">
        <v>668</v>
      </c>
    </row>
    <row r="392" spans="2:6">
      <c r="B392" s="6">
        <f t="shared" si="17"/>
        <v>5</v>
      </c>
      <c r="C392" s="190">
        <f t="shared" si="16"/>
        <v>1</v>
      </c>
      <c r="D392" s="188">
        <f t="shared" si="16"/>
        <v>0</v>
      </c>
      <c r="E392" s="189">
        <f t="shared" si="16"/>
        <v>0</v>
      </c>
      <c r="F392" s="177" t="s">
        <v>668</v>
      </c>
    </row>
    <row r="393" spans="2:6">
      <c r="B393" s="6">
        <f t="shared" si="17"/>
        <v>6</v>
      </c>
      <c r="C393" s="190">
        <f t="shared" si="16"/>
        <v>0</v>
      </c>
      <c r="D393" s="188">
        <f t="shared" si="16"/>
        <v>0</v>
      </c>
      <c r="E393" s="189">
        <f t="shared" si="16"/>
        <v>1</v>
      </c>
      <c r="F393" s="177" t="s">
        <v>668</v>
      </c>
    </row>
    <row r="394" spans="2:6">
      <c r="B394" s="6">
        <f t="shared" si="17"/>
        <v>7</v>
      </c>
      <c r="C394" s="190">
        <f t="shared" si="16"/>
        <v>0</v>
      </c>
      <c r="D394" s="188">
        <f t="shared" si="16"/>
        <v>0</v>
      </c>
      <c r="E394" s="189">
        <f t="shared" si="16"/>
        <v>1</v>
      </c>
      <c r="F394" s="177" t="s">
        <v>668</v>
      </c>
    </row>
    <row r="395" spans="2:6">
      <c r="B395" s="6">
        <f t="shared" si="17"/>
        <v>8</v>
      </c>
      <c r="C395" s="190">
        <f t="shared" si="16"/>
        <v>1</v>
      </c>
      <c r="D395" s="188">
        <f t="shared" si="16"/>
        <v>0</v>
      </c>
      <c r="E395" s="189">
        <f t="shared" si="16"/>
        <v>0</v>
      </c>
      <c r="F395" s="177" t="s">
        <v>668</v>
      </c>
    </row>
    <row r="396" spans="2:6">
      <c r="B396" s="6">
        <f t="shared" si="17"/>
        <v>9</v>
      </c>
      <c r="C396" s="190">
        <f t="shared" si="16"/>
        <v>1</v>
      </c>
      <c r="D396" s="188">
        <f t="shared" si="16"/>
        <v>0</v>
      </c>
      <c r="E396" s="189">
        <f t="shared" si="16"/>
        <v>0</v>
      </c>
      <c r="F396" s="177" t="s">
        <v>668</v>
      </c>
    </row>
    <row r="397" spans="2:6">
      <c r="B397" s="6">
        <f t="shared" si="17"/>
        <v>10</v>
      </c>
      <c r="C397" s="190">
        <f t="shared" si="16"/>
        <v>0</v>
      </c>
      <c r="D397" s="188">
        <f t="shared" si="16"/>
        <v>0</v>
      </c>
      <c r="E397" s="189">
        <f t="shared" si="16"/>
        <v>1</v>
      </c>
      <c r="F397" s="177" t="s">
        <v>668</v>
      </c>
    </row>
    <row r="398" spans="2:6">
      <c r="B398" s="6">
        <f t="shared" si="17"/>
        <v>11</v>
      </c>
      <c r="C398" s="190">
        <f t="shared" si="16"/>
        <v>1</v>
      </c>
      <c r="D398" s="188">
        <f t="shared" si="16"/>
        <v>0</v>
      </c>
      <c r="E398" s="189">
        <f t="shared" si="16"/>
        <v>0</v>
      </c>
      <c r="F398" s="177" t="s">
        <v>668</v>
      </c>
    </row>
    <row r="399" spans="2:6">
      <c r="B399" s="6">
        <f t="shared" si="17"/>
        <v>12</v>
      </c>
      <c r="C399" s="190">
        <f t="shared" si="16"/>
        <v>0</v>
      </c>
      <c r="D399" s="188">
        <f t="shared" si="16"/>
        <v>0</v>
      </c>
      <c r="E399" s="189">
        <f t="shared" si="16"/>
        <v>1</v>
      </c>
      <c r="F399" s="177" t="s">
        <v>668</v>
      </c>
    </row>
    <row r="400" spans="2:6">
      <c r="B400" s="6">
        <f t="shared" si="17"/>
        <v>13</v>
      </c>
      <c r="C400" s="190">
        <f t="shared" si="16"/>
        <v>0</v>
      </c>
      <c r="D400" s="188">
        <f t="shared" si="16"/>
        <v>0</v>
      </c>
      <c r="E400" s="189">
        <f t="shared" si="16"/>
        <v>1</v>
      </c>
      <c r="F400" s="177" t="s">
        <v>668</v>
      </c>
    </row>
    <row r="401" spans="2:6">
      <c r="B401" s="6">
        <f t="shared" si="17"/>
        <v>14</v>
      </c>
      <c r="C401" s="190">
        <f t="shared" si="16"/>
        <v>0</v>
      </c>
      <c r="D401" s="188">
        <f t="shared" si="16"/>
        <v>0</v>
      </c>
      <c r="E401" s="189">
        <f t="shared" si="16"/>
        <v>1</v>
      </c>
      <c r="F401" s="177" t="s">
        <v>668</v>
      </c>
    </row>
    <row r="402" spans="2:6">
      <c r="B402" s="6">
        <f t="shared" si="17"/>
        <v>15</v>
      </c>
      <c r="C402" s="190">
        <f t="shared" si="16"/>
        <v>0</v>
      </c>
      <c r="D402" s="188">
        <f t="shared" si="16"/>
        <v>0</v>
      </c>
      <c r="E402" s="189">
        <f t="shared" si="16"/>
        <v>1</v>
      </c>
      <c r="F402" s="177" t="s">
        <v>668</v>
      </c>
    </row>
    <row r="403" spans="2:6">
      <c r="B403" s="6">
        <f t="shared" si="17"/>
        <v>16</v>
      </c>
      <c r="C403" s="190">
        <f t="shared" si="16"/>
        <v>0</v>
      </c>
      <c r="D403" s="188">
        <f t="shared" si="16"/>
        <v>0</v>
      </c>
      <c r="E403" s="189">
        <f t="shared" si="16"/>
        <v>1</v>
      </c>
      <c r="F403" s="177" t="s">
        <v>668</v>
      </c>
    </row>
    <row r="404" spans="2:6">
      <c r="B404" s="6">
        <f t="shared" si="17"/>
        <v>17</v>
      </c>
      <c r="C404" s="190">
        <f t="shared" si="16"/>
        <v>0</v>
      </c>
      <c r="D404" s="188">
        <f t="shared" si="16"/>
        <v>0</v>
      </c>
      <c r="E404" s="189">
        <f t="shared" si="16"/>
        <v>1</v>
      </c>
      <c r="F404" s="177" t="s">
        <v>668</v>
      </c>
    </row>
    <row r="405" spans="2:6">
      <c r="B405" s="6">
        <f t="shared" si="17"/>
        <v>18</v>
      </c>
      <c r="C405" s="190">
        <f t="shared" si="16"/>
        <v>1</v>
      </c>
      <c r="D405" s="188">
        <f t="shared" si="16"/>
        <v>0</v>
      </c>
      <c r="E405" s="189">
        <f t="shared" si="16"/>
        <v>0</v>
      </c>
      <c r="F405" s="177" t="s">
        <v>668</v>
      </c>
    </row>
    <row r="406" spans="2:6">
      <c r="B406" s="6">
        <f t="shared" si="17"/>
        <v>19</v>
      </c>
      <c r="C406" s="191">
        <f t="shared" si="16"/>
        <v>0</v>
      </c>
      <c r="D406" s="192">
        <f t="shared" si="16"/>
        <v>0</v>
      </c>
      <c r="E406" s="189">
        <f t="shared" si="16"/>
        <v>1</v>
      </c>
      <c r="F406" s="177" t="s">
        <v>668</v>
      </c>
    </row>
    <row r="407" spans="2:6">
      <c r="B407" s="6">
        <f t="shared" si="17"/>
        <v>20</v>
      </c>
      <c r="C407" s="193">
        <f t="shared" si="16"/>
        <v>0</v>
      </c>
      <c r="D407" s="187">
        <f t="shared" si="16"/>
        <v>1</v>
      </c>
      <c r="E407" s="188">
        <f t="shared" si="16"/>
        <v>0</v>
      </c>
      <c r="F407" s="177" t="s">
        <v>669</v>
      </c>
    </row>
    <row r="408" spans="2:6">
      <c r="B408" s="6">
        <f t="shared" si="17"/>
        <v>21</v>
      </c>
      <c r="C408" s="194">
        <f t="shared" ref="C408:E427" si="18">IF(C344=MAX($C344:$E344),1,0)</f>
        <v>0</v>
      </c>
      <c r="D408" s="190">
        <f t="shared" si="18"/>
        <v>1</v>
      </c>
      <c r="E408" s="188">
        <f t="shared" si="18"/>
        <v>0</v>
      </c>
      <c r="F408" s="177" t="s">
        <v>669</v>
      </c>
    </row>
    <row r="409" spans="2:6">
      <c r="B409" s="6">
        <f t="shared" si="17"/>
        <v>22</v>
      </c>
      <c r="C409" s="194">
        <f t="shared" si="18"/>
        <v>0</v>
      </c>
      <c r="D409" s="190">
        <f t="shared" si="18"/>
        <v>1</v>
      </c>
      <c r="E409" s="188">
        <f t="shared" si="18"/>
        <v>0</v>
      </c>
      <c r="F409" s="177" t="s">
        <v>669</v>
      </c>
    </row>
    <row r="410" spans="2:6">
      <c r="B410" s="6">
        <f t="shared" si="17"/>
        <v>23</v>
      </c>
      <c r="C410" s="194">
        <f t="shared" si="18"/>
        <v>0</v>
      </c>
      <c r="D410" s="190">
        <f t="shared" si="18"/>
        <v>1</v>
      </c>
      <c r="E410" s="188">
        <f t="shared" si="18"/>
        <v>0</v>
      </c>
      <c r="F410" s="177" t="s">
        <v>669</v>
      </c>
    </row>
    <row r="411" spans="2:6">
      <c r="B411" s="6">
        <f t="shared" si="17"/>
        <v>24</v>
      </c>
      <c r="C411" s="194">
        <f t="shared" si="18"/>
        <v>0</v>
      </c>
      <c r="D411" s="190">
        <f t="shared" si="18"/>
        <v>1</v>
      </c>
      <c r="E411" s="188">
        <f t="shared" si="18"/>
        <v>0</v>
      </c>
      <c r="F411" s="177" t="s">
        <v>669</v>
      </c>
    </row>
    <row r="412" spans="2:6">
      <c r="B412" s="6">
        <f t="shared" si="17"/>
        <v>25</v>
      </c>
      <c r="C412" s="194">
        <f t="shared" si="18"/>
        <v>0</v>
      </c>
      <c r="D412" s="190">
        <f t="shared" si="18"/>
        <v>1</v>
      </c>
      <c r="E412" s="188">
        <f t="shared" si="18"/>
        <v>0</v>
      </c>
      <c r="F412" s="177" t="s">
        <v>669</v>
      </c>
    </row>
    <row r="413" spans="2:6">
      <c r="B413" s="6">
        <f t="shared" si="17"/>
        <v>26</v>
      </c>
      <c r="C413" s="194">
        <f t="shared" si="18"/>
        <v>0</v>
      </c>
      <c r="D413" s="190">
        <f t="shared" si="18"/>
        <v>1</v>
      </c>
      <c r="E413" s="188">
        <f t="shared" si="18"/>
        <v>0</v>
      </c>
      <c r="F413" s="177" t="s">
        <v>669</v>
      </c>
    </row>
    <row r="414" spans="2:6">
      <c r="B414" s="6">
        <f t="shared" si="17"/>
        <v>27</v>
      </c>
      <c r="C414" s="194">
        <f t="shared" si="18"/>
        <v>0</v>
      </c>
      <c r="D414" s="190">
        <f t="shared" si="18"/>
        <v>1</v>
      </c>
      <c r="E414" s="188">
        <f t="shared" si="18"/>
        <v>0</v>
      </c>
      <c r="F414" s="177" t="s">
        <v>669</v>
      </c>
    </row>
    <row r="415" spans="2:6">
      <c r="B415" s="6">
        <f t="shared" si="17"/>
        <v>28</v>
      </c>
      <c r="C415" s="194">
        <f t="shared" si="18"/>
        <v>0</v>
      </c>
      <c r="D415" s="190">
        <f t="shared" si="18"/>
        <v>1</v>
      </c>
      <c r="E415" s="188">
        <f t="shared" si="18"/>
        <v>0</v>
      </c>
      <c r="F415" s="177" t="s">
        <v>669</v>
      </c>
    </row>
    <row r="416" spans="2:6">
      <c r="B416" s="6">
        <f t="shared" si="17"/>
        <v>29</v>
      </c>
      <c r="C416" s="194">
        <f t="shared" si="18"/>
        <v>0</v>
      </c>
      <c r="D416" s="190">
        <f t="shared" si="18"/>
        <v>1</v>
      </c>
      <c r="E416" s="188">
        <f t="shared" si="18"/>
        <v>0</v>
      </c>
      <c r="F416" s="177" t="s">
        <v>669</v>
      </c>
    </row>
    <row r="417" spans="2:6">
      <c r="B417" s="6">
        <f t="shared" si="17"/>
        <v>30</v>
      </c>
      <c r="C417" s="194">
        <f t="shared" si="18"/>
        <v>0</v>
      </c>
      <c r="D417" s="190">
        <f t="shared" si="18"/>
        <v>1</v>
      </c>
      <c r="E417" s="188">
        <f t="shared" si="18"/>
        <v>0</v>
      </c>
      <c r="F417" s="177" t="s">
        <v>669</v>
      </c>
    </row>
    <row r="418" spans="2:6">
      <c r="B418" s="6">
        <f t="shared" si="17"/>
        <v>31</v>
      </c>
      <c r="C418" s="194">
        <f t="shared" si="18"/>
        <v>0</v>
      </c>
      <c r="D418" s="190">
        <f t="shared" si="18"/>
        <v>1</v>
      </c>
      <c r="E418" s="188">
        <f t="shared" si="18"/>
        <v>0</v>
      </c>
      <c r="F418" s="177" t="s">
        <v>669</v>
      </c>
    </row>
    <row r="419" spans="2:6">
      <c r="B419" s="6">
        <f t="shared" si="17"/>
        <v>32</v>
      </c>
      <c r="C419" s="194">
        <f t="shared" si="18"/>
        <v>0</v>
      </c>
      <c r="D419" s="190">
        <f t="shared" si="18"/>
        <v>1</v>
      </c>
      <c r="E419" s="188">
        <f t="shared" si="18"/>
        <v>0</v>
      </c>
      <c r="F419" s="177" t="s">
        <v>669</v>
      </c>
    </row>
    <row r="420" spans="2:6">
      <c r="B420" s="6">
        <f t="shared" si="17"/>
        <v>33</v>
      </c>
      <c r="C420" s="194">
        <f t="shared" si="18"/>
        <v>0</v>
      </c>
      <c r="D420" s="190">
        <f t="shared" si="18"/>
        <v>1</v>
      </c>
      <c r="E420" s="188">
        <f t="shared" si="18"/>
        <v>0</v>
      </c>
      <c r="F420" s="177" t="s">
        <v>669</v>
      </c>
    </row>
    <row r="421" spans="2:6">
      <c r="B421" s="6">
        <f t="shared" si="17"/>
        <v>34</v>
      </c>
      <c r="C421" s="194">
        <f t="shared" si="18"/>
        <v>0</v>
      </c>
      <c r="D421" s="190">
        <f t="shared" si="18"/>
        <v>1</v>
      </c>
      <c r="E421" s="188">
        <f t="shared" si="18"/>
        <v>0</v>
      </c>
      <c r="F421" s="177" t="s">
        <v>669</v>
      </c>
    </row>
    <row r="422" spans="2:6">
      <c r="B422" s="6">
        <f t="shared" si="17"/>
        <v>35</v>
      </c>
      <c r="C422" s="194">
        <f t="shared" si="18"/>
        <v>0</v>
      </c>
      <c r="D422" s="190">
        <f t="shared" si="18"/>
        <v>1</v>
      </c>
      <c r="E422" s="188">
        <f t="shared" si="18"/>
        <v>0</v>
      </c>
      <c r="F422" s="177" t="s">
        <v>669</v>
      </c>
    </row>
    <row r="423" spans="2:6">
      <c r="B423" s="6">
        <f t="shared" si="17"/>
        <v>36</v>
      </c>
      <c r="C423" s="194">
        <f t="shared" si="18"/>
        <v>0</v>
      </c>
      <c r="D423" s="190">
        <f t="shared" si="18"/>
        <v>1</v>
      </c>
      <c r="E423" s="188">
        <f t="shared" si="18"/>
        <v>0</v>
      </c>
      <c r="F423" s="177" t="s">
        <v>669</v>
      </c>
    </row>
    <row r="424" spans="2:6">
      <c r="B424" s="6">
        <f t="shared" si="17"/>
        <v>37</v>
      </c>
      <c r="C424" s="194">
        <f t="shared" si="18"/>
        <v>0</v>
      </c>
      <c r="D424" s="190">
        <f t="shared" si="18"/>
        <v>1</v>
      </c>
      <c r="E424" s="188">
        <f t="shared" si="18"/>
        <v>0</v>
      </c>
      <c r="F424" s="177" t="s">
        <v>669</v>
      </c>
    </row>
    <row r="425" spans="2:6">
      <c r="B425" s="6">
        <f t="shared" si="17"/>
        <v>38</v>
      </c>
      <c r="C425" s="194">
        <f t="shared" si="18"/>
        <v>0</v>
      </c>
      <c r="D425" s="191">
        <f t="shared" si="18"/>
        <v>1</v>
      </c>
      <c r="E425" s="192">
        <f t="shared" si="18"/>
        <v>0</v>
      </c>
      <c r="F425" s="177" t="s">
        <v>669</v>
      </c>
    </row>
    <row r="426" spans="2:6">
      <c r="B426" s="6">
        <f t="shared" si="17"/>
        <v>39</v>
      </c>
      <c r="C426" s="189">
        <f t="shared" si="18"/>
        <v>0</v>
      </c>
      <c r="D426" s="193">
        <f t="shared" si="18"/>
        <v>0</v>
      </c>
      <c r="E426" s="187">
        <f t="shared" si="18"/>
        <v>1</v>
      </c>
      <c r="F426" s="177" t="s">
        <v>670</v>
      </c>
    </row>
    <row r="427" spans="2:6">
      <c r="B427" s="6">
        <f t="shared" si="17"/>
        <v>40</v>
      </c>
      <c r="C427" s="189">
        <f t="shared" si="18"/>
        <v>0</v>
      </c>
      <c r="D427" s="194">
        <f t="shared" si="18"/>
        <v>0</v>
      </c>
      <c r="E427" s="190">
        <f t="shared" si="18"/>
        <v>1</v>
      </c>
      <c r="F427" s="177" t="s">
        <v>670</v>
      </c>
    </row>
    <row r="428" spans="2:6">
      <c r="B428" s="6">
        <f t="shared" si="17"/>
        <v>41</v>
      </c>
      <c r="C428" s="189">
        <f t="shared" ref="C428:E444" si="19">IF(C364=MAX($C364:$E364),1,0)</f>
        <v>0</v>
      </c>
      <c r="D428" s="194">
        <f t="shared" si="19"/>
        <v>0</v>
      </c>
      <c r="E428" s="190">
        <f t="shared" si="19"/>
        <v>1</v>
      </c>
      <c r="F428" s="177" t="s">
        <v>670</v>
      </c>
    </row>
    <row r="429" spans="2:6">
      <c r="B429" s="6">
        <f t="shared" si="17"/>
        <v>42</v>
      </c>
      <c r="C429" s="189">
        <f t="shared" si="19"/>
        <v>0</v>
      </c>
      <c r="D429" s="194">
        <f t="shared" si="19"/>
        <v>0</v>
      </c>
      <c r="E429" s="190">
        <f t="shared" si="19"/>
        <v>1</v>
      </c>
      <c r="F429" s="177" t="s">
        <v>670</v>
      </c>
    </row>
    <row r="430" spans="2:6">
      <c r="B430" s="6">
        <f t="shared" si="17"/>
        <v>43</v>
      </c>
      <c r="C430" s="189">
        <f t="shared" si="19"/>
        <v>0</v>
      </c>
      <c r="D430" s="194">
        <f t="shared" si="19"/>
        <v>0</v>
      </c>
      <c r="E430" s="190">
        <f t="shared" si="19"/>
        <v>1</v>
      </c>
      <c r="F430" s="177" t="s">
        <v>670</v>
      </c>
    </row>
    <row r="431" spans="2:6">
      <c r="B431" s="6">
        <f t="shared" si="17"/>
        <v>44</v>
      </c>
      <c r="C431" s="189">
        <f t="shared" si="19"/>
        <v>0</v>
      </c>
      <c r="D431" s="194">
        <f t="shared" si="19"/>
        <v>0</v>
      </c>
      <c r="E431" s="190">
        <f t="shared" si="19"/>
        <v>1</v>
      </c>
      <c r="F431" s="177" t="s">
        <v>670</v>
      </c>
    </row>
    <row r="432" spans="2:6">
      <c r="B432" s="6">
        <f t="shared" si="17"/>
        <v>45</v>
      </c>
      <c r="C432" s="189">
        <f t="shared" si="19"/>
        <v>0</v>
      </c>
      <c r="D432" s="194">
        <f t="shared" si="19"/>
        <v>0</v>
      </c>
      <c r="E432" s="190">
        <f t="shared" si="19"/>
        <v>1</v>
      </c>
      <c r="F432" s="177" t="s">
        <v>670</v>
      </c>
    </row>
    <row r="433" spans="1:13">
      <c r="B433" s="6">
        <f t="shared" si="17"/>
        <v>46</v>
      </c>
      <c r="C433" s="189">
        <f t="shared" si="19"/>
        <v>0</v>
      </c>
      <c r="D433" s="194">
        <f t="shared" si="19"/>
        <v>0</v>
      </c>
      <c r="E433" s="190">
        <f t="shared" si="19"/>
        <v>1</v>
      </c>
      <c r="F433" s="177" t="s">
        <v>670</v>
      </c>
    </row>
    <row r="434" spans="1:13">
      <c r="B434" s="6">
        <f t="shared" si="17"/>
        <v>47</v>
      </c>
      <c r="C434" s="189">
        <f t="shared" si="19"/>
        <v>0</v>
      </c>
      <c r="D434" s="194">
        <f t="shared" si="19"/>
        <v>0</v>
      </c>
      <c r="E434" s="190">
        <f t="shared" si="19"/>
        <v>1</v>
      </c>
      <c r="F434" s="177" t="s">
        <v>670</v>
      </c>
    </row>
    <row r="435" spans="1:13">
      <c r="B435" s="6">
        <f t="shared" si="17"/>
        <v>48</v>
      </c>
      <c r="C435" s="189">
        <f t="shared" si="19"/>
        <v>0</v>
      </c>
      <c r="D435" s="194">
        <f t="shared" si="19"/>
        <v>0</v>
      </c>
      <c r="E435" s="190">
        <f t="shared" si="19"/>
        <v>1</v>
      </c>
      <c r="F435" s="177" t="s">
        <v>670</v>
      </c>
    </row>
    <row r="436" spans="1:13">
      <c r="B436" s="6">
        <f t="shared" si="17"/>
        <v>49</v>
      </c>
      <c r="C436" s="189">
        <f t="shared" si="19"/>
        <v>0</v>
      </c>
      <c r="D436" s="194">
        <f t="shared" si="19"/>
        <v>0</v>
      </c>
      <c r="E436" s="190">
        <f t="shared" si="19"/>
        <v>1</v>
      </c>
      <c r="F436" s="177" t="s">
        <v>670</v>
      </c>
    </row>
    <row r="437" spans="1:13">
      <c r="B437" s="6">
        <f t="shared" si="17"/>
        <v>50</v>
      </c>
      <c r="C437" s="189">
        <f t="shared" si="19"/>
        <v>0</v>
      </c>
      <c r="D437" s="194">
        <f t="shared" si="19"/>
        <v>0</v>
      </c>
      <c r="E437" s="190">
        <f t="shared" si="19"/>
        <v>1</v>
      </c>
      <c r="F437" s="177" t="s">
        <v>670</v>
      </c>
    </row>
    <row r="438" spans="1:13">
      <c r="B438" s="6">
        <f t="shared" si="17"/>
        <v>51</v>
      </c>
      <c r="C438" s="189">
        <f t="shared" si="19"/>
        <v>0</v>
      </c>
      <c r="D438" s="194">
        <f t="shared" si="19"/>
        <v>0</v>
      </c>
      <c r="E438" s="190">
        <f t="shared" si="19"/>
        <v>1</v>
      </c>
      <c r="F438" s="177" t="s">
        <v>670</v>
      </c>
    </row>
    <row r="439" spans="1:13">
      <c r="B439" s="6">
        <f t="shared" si="17"/>
        <v>52</v>
      </c>
      <c r="C439" s="189">
        <f t="shared" si="19"/>
        <v>0</v>
      </c>
      <c r="D439" s="194">
        <f t="shared" si="19"/>
        <v>0</v>
      </c>
      <c r="E439" s="190">
        <f t="shared" si="19"/>
        <v>1</v>
      </c>
      <c r="F439" s="177" t="s">
        <v>670</v>
      </c>
    </row>
    <row r="440" spans="1:13">
      <c r="B440" s="6">
        <f t="shared" si="17"/>
        <v>53</v>
      </c>
      <c r="C440" s="189">
        <f t="shared" si="19"/>
        <v>0</v>
      </c>
      <c r="D440" s="194">
        <f t="shared" si="19"/>
        <v>0</v>
      </c>
      <c r="E440" s="190">
        <f t="shared" si="19"/>
        <v>1</v>
      </c>
      <c r="F440" s="177" t="s">
        <v>670</v>
      </c>
    </row>
    <row r="441" spans="1:13">
      <c r="B441" s="6">
        <f t="shared" si="17"/>
        <v>54</v>
      </c>
      <c r="C441" s="189">
        <f t="shared" si="19"/>
        <v>0</v>
      </c>
      <c r="D441" s="194">
        <f t="shared" si="19"/>
        <v>0</v>
      </c>
      <c r="E441" s="190">
        <f t="shared" si="19"/>
        <v>1</v>
      </c>
      <c r="F441" s="177" t="s">
        <v>670</v>
      </c>
    </row>
    <row r="442" spans="1:13">
      <c r="B442" s="6">
        <f t="shared" si="17"/>
        <v>55</v>
      </c>
      <c r="C442" s="189">
        <f t="shared" si="19"/>
        <v>0</v>
      </c>
      <c r="D442" s="194">
        <f t="shared" si="19"/>
        <v>0</v>
      </c>
      <c r="E442" s="190">
        <f t="shared" si="19"/>
        <v>1</v>
      </c>
      <c r="F442" s="177" t="s">
        <v>670</v>
      </c>
    </row>
    <row r="443" spans="1:13">
      <c r="B443" s="6">
        <f t="shared" si="17"/>
        <v>56</v>
      </c>
      <c r="C443" s="189">
        <f t="shared" si="19"/>
        <v>0</v>
      </c>
      <c r="D443" s="194">
        <f t="shared" si="19"/>
        <v>0</v>
      </c>
      <c r="E443" s="190">
        <f t="shared" si="19"/>
        <v>1</v>
      </c>
      <c r="F443" s="177" t="s">
        <v>670</v>
      </c>
    </row>
    <row r="444" spans="1:13">
      <c r="B444" s="6">
        <f t="shared" si="17"/>
        <v>57</v>
      </c>
      <c r="C444" s="189">
        <f t="shared" si="19"/>
        <v>0</v>
      </c>
      <c r="D444" s="194">
        <f t="shared" si="19"/>
        <v>0</v>
      </c>
      <c r="E444" s="191">
        <f t="shared" si="19"/>
        <v>1</v>
      </c>
      <c r="F444" s="177" t="s">
        <v>670</v>
      </c>
    </row>
    <row r="445" spans="1:13" ht="15">
      <c r="E445" s="167"/>
      <c r="G445" s="1"/>
    </row>
    <row r="448" spans="1:13">
      <c r="A448" s="24" t="s">
        <v>769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</row>
    <row r="451" spans="2:21">
      <c r="D451" s="244" t="s">
        <v>667</v>
      </c>
      <c r="E451" s="244"/>
      <c r="F451" s="244"/>
    </row>
    <row r="452" spans="2:21">
      <c r="C452" s="6"/>
      <c r="D452" s="6" t="s">
        <v>668</v>
      </c>
      <c r="E452" s="6" t="s">
        <v>669</v>
      </c>
      <c r="F452" s="6" t="s">
        <v>670</v>
      </c>
      <c r="G452" s="6" t="s">
        <v>404</v>
      </c>
    </row>
    <row r="453" spans="2:21">
      <c r="C453" s="6" t="s">
        <v>668</v>
      </c>
      <c r="D453" s="154">
        <f>SUM(C388:C406)</f>
        <v>6</v>
      </c>
      <c r="E453" s="175">
        <f>SUM(D388:D406)</f>
        <v>0</v>
      </c>
      <c r="F453" s="175">
        <f>SUM(E388:E406)</f>
        <v>13</v>
      </c>
      <c r="G453" s="8">
        <f>SUM(D453:F453)</f>
        <v>19</v>
      </c>
    </row>
    <row r="454" spans="2:21">
      <c r="B454" s="6" t="s">
        <v>671</v>
      </c>
      <c r="C454" s="6" t="s">
        <v>669</v>
      </c>
      <c r="D454" s="8">
        <f>SUM(C407:C425)</f>
        <v>0</v>
      </c>
      <c r="E454" s="154">
        <f>SUM(D407:D425)</f>
        <v>19</v>
      </c>
      <c r="F454" s="8">
        <f>SUM(E407:E425)</f>
        <v>0</v>
      </c>
      <c r="G454" s="8">
        <f>SUM(D454:F454)</f>
        <v>19</v>
      </c>
      <c r="L454" s="1"/>
      <c r="O454" s="1"/>
    </row>
    <row r="455" spans="2:21">
      <c r="C455" s="6" t="s">
        <v>670</v>
      </c>
      <c r="D455" s="8">
        <f>SUM(C426:C444)</f>
        <v>0</v>
      </c>
      <c r="E455" s="8">
        <f>SUM(D426:D444)</f>
        <v>0</v>
      </c>
      <c r="F455" s="154">
        <f>SUM(E426:E444)</f>
        <v>19</v>
      </c>
      <c r="G455" s="8">
        <f>SUM(D455:F455)</f>
        <v>19</v>
      </c>
      <c r="M455" s="1"/>
      <c r="N455" s="1"/>
    </row>
    <row r="456" spans="2:21">
      <c r="D456" s="1"/>
      <c r="E456" s="1"/>
      <c r="F456" s="6" t="s">
        <v>672</v>
      </c>
      <c r="G456" s="8">
        <f>SUM(G453:G455)</f>
        <v>57</v>
      </c>
    </row>
    <row r="457" spans="2:21">
      <c r="F457" s="6" t="s">
        <v>673</v>
      </c>
      <c r="G457" s="8">
        <f>D453+E454+F455</f>
        <v>44</v>
      </c>
    </row>
    <row r="459" spans="2:21">
      <c r="D459" s="6"/>
      <c r="E459" s="6" t="s">
        <v>667</v>
      </c>
      <c r="F459" s="6"/>
    </row>
    <row r="460" spans="2:21">
      <c r="C460" s="6"/>
      <c r="D460" s="6" t="s">
        <v>668</v>
      </c>
      <c r="E460" s="6" t="s">
        <v>669</v>
      </c>
      <c r="F460" s="6" t="s">
        <v>670</v>
      </c>
      <c r="G460" s="6" t="s">
        <v>404</v>
      </c>
    </row>
    <row r="461" spans="2:21">
      <c r="C461" s="6" t="s">
        <v>668</v>
      </c>
      <c r="D461" s="174">
        <f t="shared" ref="D461:G463" si="20">D453/$G453</f>
        <v>0.31578947368421051</v>
      </c>
      <c r="E461" s="174">
        <f t="shared" si="20"/>
        <v>0</v>
      </c>
      <c r="F461" s="174">
        <f t="shared" si="20"/>
        <v>0.68421052631578949</v>
      </c>
      <c r="G461" s="173">
        <f t="shared" si="20"/>
        <v>1</v>
      </c>
      <c r="S461" s="149"/>
      <c r="T461" s="149"/>
      <c r="U461" s="149"/>
    </row>
    <row r="462" spans="2:21">
      <c r="B462" s="6" t="s">
        <v>671</v>
      </c>
      <c r="C462" s="6" t="s">
        <v>669</v>
      </c>
      <c r="D462" s="174">
        <f t="shared" si="20"/>
        <v>0</v>
      </c>
      <c r="E462" s="174">
        <f t="shared" si="20"/>
        <v>1</v>
      </c>
      <c r="F462" s="174">
        <f t="shared" si="20"/>
        <v>0</v>
      </c>
      <c r="G462" s="173">
        <f t="shared" si="20"/>
        <v>1</v>
      </c>
    </row>
    <row r="463" spans="2:21">
      <c r="C463" s="6" t="s">
        <v>670</v>
      </c>
      <c r="D463" s="174">
        <f t="shared" si="20"/>
        <v>0</v>
      </c>
      <c r="E463" s="174">
        <f t="shared" si="20"/>
        <v>0</v>
      </c>
      <c r="F463" s="174">
        <f t="shared" si="20"/>
        <v>1</v>
      </c>
      <c r="G463" s="173">
        <f t="shared" si="20"/>
        <v>1</v>
      </c>
    </row>
    <row r="466" spans="1:21">
      <c r="B466" s="6" t="s">
        <v>369</v>
      </c>
      <c r="C466" s="8" t="s">
        <v>770</v>
      </c>
      <c r="D466" s="8"/>
      <c r="E466" s="8"/>
      <c r="F466" s="8"/>
      <c r="G466" s="8"/>
    </row>
    <row r="467" spans="1:21">
      <c r="C467" s="8" t="s">
        <v>771</v>
      </c>
      <c r="D467" s="8"/>
      <c r="E467" s="8"/>
      <c r="F467" s="8"/>
      <c r="G467" s="8"/>
    </row>
    <row r="468" spans="1:21">
      <c r="C468" s="8"/>
      <c r="D468" s="8"/>
      <c r="E468" s="8"/>
      <c r="F468" s="8"/>
      <c r="G468" s="8"/>
    </row>
    <row r="469" spans="1:21">
      <c r="S469" s="149"/>
      <c r="T469" s="149"/>
      <c r="U469" s="149"/>
    </row>
    <row r="472" spans="1:21">
      <c r="A472" s="24" t="s">
        <v>730</v>
      </c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</row>
    <row r="475" spans="1:21">
      <c r="B475" s="6" t="s">
        <v>369</v>
      </c>
      <c r="C475" s="178" t="s">
        <v>752</v>
      </c>
      <c r="D475" s="178"/>
      <c r="E475" s="178"/>
      <c r="F475" s="178"/>
      <c r="G475" s="178"/>
      <c r="H475" s="178"/>
    </row>
    <row r="476" spans="1:21">
      <c r="B476" s="9"/>
      <c r="C476" s="178" t="s">
        <v>674</v>
      </c>
      <c r="D476" s="178"/>
      <c r="E476" s="178"/>
      <c r="F476" s="178"/>
      <c r="G476" s="178"/>
      <c r="H476" s="178"/>
    </row>
    <row r="477" spans="1:21">
      <c r="B477" s="9"/>
      <c r="C477" s="178" t="s">
        <v>675</v>
      </c>
      <c r="D477" s="178"/>
      <c r="E477" s="178" t="s">
        <v>747</v>
      </c>
      <c r="F477" s="178"/>
      <c r="G477" s="178"/>
      <c r="H477" s="178"/>
    </row>
    <row r="478" spans="1:21" ht="15.75">
      <c r="C478" s="178" t="s">
        <v>748</v>
      </c>
      <c r="D478" s="178"/>
      <c r="E478" s="178"/>
      <c r="F478" s="178"/>
      <c r="G478" s="178"/>
      <c r="H478" s="178"/>
    </row>
    <row r="479" spans="1:21" ht="15.75">
      <c r="C479" s="178"/>
      <c r="D479" s="178" t="s">
        <v>749</v>
      </c>
      <c r="E479" s="178"/>
      <c r="F479" s="178"/>
      <c r="G479" s="178"/>
      <c r="H479" s="178"/>
      <c r="S479" s="149"/>
      <c r="T479" s="149"/>
      <c r="U479" s="149"/>
    </row>
    <row r="480" spans="1:21" ht="15.75">
      <c r="C480" s="178"/>
      <c r="D480" s="178" t="s">
        <v>750</v>
      </c>
      <c r="E480" s="178"/>
      <c r="F480" s="178"/>
      <c r="G480" s="178"/>
      <c r="H480" s="178"/>
    </row>
    <row r="481" spans="2:21" ht="15.75">
      <c r="C481" s="178"/>
      <c r="D481" s="109" t="s">
        <v>751</v>
      </c>
      <c r="E481" s="178" t="s">
        <v>676</v>
      </c>
      <c r="F481" s="178"/>
      <c r="G481" s="178"/>
      <c r="H481" s="178"/>
    </row>
    <row r="482" spans="2:21" ht="15.75">
      <c r="C482" s="178" t="s">
        <v>753</v>
      </c>
      <c r="D482" s="178"/>
      <c r="E482" s="178"/>
      <c r="F482" s="178"/>
      <c r="G482" s="178"/>
      <c r="H482" s="178"/>
    </row>
    <row r="483" spans="2:21">
      <c r="C483" s="178" t="s">
        <v>754</v>
      </c>
      <c r="D483" s="178"/>
      <c r="E483" s="178"/>
      <c r="F483" s="178"/>
      <c r="G483" s="178"/>
      <c r="H483" s="178"/>
    </row>
    <row r="484" spans="2:21">
      <c r="C484" s="178"/>
      <c r="D484" s="178"/>
      <c r="E484" s="178"/>
      <c r="F484" s="178"/>
      <c r="G484" s="178"/>
      <c r="H484" s="178"/>
      <c r="M484" s="12"/>
    </row>
    <row r="486" spans="2:21">
      <c r="B486" s="107" t="s">
        <v>677</v>
      </c>
    </row>
    <row r="487" spans="2:21">
      <c r="B487" s="176">
        <v>3</v>
      </c>
    </row>
    <row r="489" spans="2:21">
      <c r="B489" s="6" t="s">
        <v>678</v>
      </c>
      <c r="C489" s="6"/>
      <c r="D489" s="177" t="s">
        <v>679</v>
      </c>
      <c r="E489" s="177"/>
      <c r="S489" s="149"/>
      <c r="T489" s="149"/>
      <c r="U489" s="149"/>
    </row>
    <row r="490" spans="2:21">
      <c r="D490" s="244" t="s">
        <v>667</v>
      </c>
      <c r="E490" s="244"/>
      <c r="F490" s="244"/>
    </row>
    <row r="491" spans="2:21">
      <c r="D491" s="6" t="s">
        <v>668</v>
      </c>
      <c r="E491" s="6" t="s">
        <v>669</v>
      </c>
      <c r="F491" s="6" t="s">
        <v>670</v>
      </c>
      <c r="G491" s="6" t="s">
        <v>404</v>
      </c>
    </row>
    <row r="492" spans="2:21">
      <c r="C492" s="6" t="s">
        <v>668</v>
      </c>
      <c r="D492" s="8">
        <f t="shared" ref="D492:F494" si="21">$G453^2/COUNTA($B$388:$B$444)</f>
        <v>6.333333333333333</v>
      </c>
      <c r="E492" s="8">
        <f t="shared" si="21"/>
        <v>6.333333333333333</v>
      </c>
      <c r="F492" s="8">
        <f t="shared" si="21"/>
        <v>6.333333333333333</v>
      </c>
      <c r="G492" s="8">
        <f>G453</f>
        <v>19</v>
      </c>
      <c r="H492" s="177" t="s">
        <v>680</v>
      </c>
      <c r="I492" s="177"/>
      <c r="J492" s="177"/>
      <c r="K492" s="177"/>
      <c r="L492" s="177"/>
    </row>
    <row r="493" spans="2:21">
      <c r="B493" s="6" t="s">
        <v>671</v>
      </c>
      <c r="C493" s="6" t="s">
        <v>669</v>
      </c>
      <c r="D493" s="8">
        <f t="shared" si="21"/>
        <v>6.333333333333333</v>
      </c>
      <c r="E493" s="8">
        <f t="shared" si="21"/>
        <v>6.333333333333333</v>
      </c>
      <c r="F493" s="8">
        <f t="shared" si="21"/>
        <v>6.333333333333333</v>
      </c>
      <c r="G493" s="8">
        <f>G454</f>
        <v>19</v>
      </c>
      <c r="H493" s="1"/>
    </row>
    <row r="494" spans="2:21">
      <c r="C494" s="6" t="s">
        <v>670</v>
      </c>
      <c r="D494" s="8">
        <f t="shared" si="21"/>
        <v>6.333333333333333</v>
      </c>
      <c r="E494" s="8">
        <f t="shared" si="21"/>
        <v>6.333333333333333</v>
      </c>
      <c r="F494" s="8">
        <f t="shared" si="21"/>
        <v>6.333333333333333</v>
      </c>
      <c r="G494" s="8">
        <f>G455</f>
        <v>19</v>
      </c>
      <c r="H494" s="1"/>
    </row>
    <row r="495" spans="2:21">
      <c r="C495" s="1"/>
      <c r="D495" s="1"/>
      <c r="E495" s="1"/>
      <c r="F495" s="6" t="s">
        <v>681</v>
      </c>
      <c r="G495" s="8">
        <f>D492+E493+F494</f>
        <v>19</v>
      </c>
      <c r="H495" s="177" t="s">
        <v>682</v>
      </c>
      <c r="I495" s="177"/>
      <c r="J495" s="177"/>
      <c r="K495" s="177"/>
      <c r="L495" s="177"/>
    </row>
    <row r="496" spans="2:21">
      <c r="B496" s="6" t="s">
        <v>683</v>
      </c>
      <c r="C496" s="6" t="s">
        <v>648</v>
      </c>
      <c r="D496" s="168">
        <f>1/3</f>
        <v>0.33333333333333331</v>
      </c>
      <c r="E496" s="1"/>
      <c r="F496" s="1"/>
      <c r="G496" s="1"/>
    </row>
    <row r="497" spans="2:21">
      <c r="B497" s="1"/>
      <c r="C497" s="6" t="s">
        <v>684</v>
      </c>
      <c r="D497" s="168">
        <f>COUNTA(B388:B444)*D496</f>
        <v>19</v>
      </c>
      <c r="S497" s="149"/>
      <c r="T497" s="149"/>
      <c r="U497" s="149"/>
    </row>
    <row r="498" spans="2:21">
      <c r="B498" s="1"/>
      <c r="C498" s="6" t="s">
        <v>685</v>
      </c>
      <c r="D498" s="168">
        <f>D497*(1-D496)</f>
        <v>12.666666666666668</v>
      </c>
    </row>
    <row r="499" spans="2:21">
      <c r="B499" s="1"/>
      <c r="C499" s="6" t="s">
        <v>687</v>
      </c>
      <c r="D499" s="168">
        <f>SQRT(D498)</f>
        <v>3.5590260840104371</v>
      </c>
    </row>
    <row r="500" spans="2:21">
      <c r="B500" s="1"/>
      <c r="C500" s="6" t="s">
        <v>690</v>
      </c>
      <c r="D500" s="168">
        <f>G457</f>
        <v>44</v>
      </c>
    </row>
    <row r="501" spans="2:21">
      <c r="B501" s="1"/>
      <c r="C501" s="6" t="s">
        <v>693</v>
      </c>
      <c r="D501" s="168">
        <f>(D500-D497)/D499</f>
        <v>7.024393586862705</v>
      </c>
    </row>
    <row r="502" spans="2:21">
      <c r="B502" s="1"/>
      <c r="C502" s="6" t="s">
        <v>696</v>
      </c>
      <c r="D502" s="168">
        <f>(1-_xlfn.NORM.DIST(D501,0,1,1))*2</f>
        <v>2.1500579094890782E-12</v>
      </c>
    </row>
    <row r="503" spans="2:21">
      <c r="B503" s="1"/>
      <c r="C503" s="6" t="s">
        <v>698</v>
      </c>
      <c r="D503" s="168">
        <f>(1-_xlfn.BINOM.DIST(52,57,D496,1))*2</f>
        <v>0</v>
      </c>
    </row>
    <row r="505" spans="2:21">
      <c r="S505" s="149"/>
      <c r="T505" s="149"/>
      <c r="U505" s="149"/>
    </row>
    <row r="506" spans="2:21">
      <c r="B506" s="6" t="s">
        <v>369</v>
      </c>
      <c r="C506" s="178" t="s">
        <v>755</v>
      </c>
      <c r="D506" s="178"/>
      <c r="E506" s="178"/>
      <c r="F506" s="178"/>
      <c r="G506" s="178"/>
      <c r="H506" s="178"/>
      <c r="I506" s="178"/>
    </row>
    <row r="507" spans="2:21">
      <c r="C507" s="178" t="s">
        <v>686</v>
      </c>
      <c r="D507" s="178"/>
      <c r="E507" s="178"/>
      <c r="F507" s="178"/>
      <c r="G507" s="178"/>
      <c r="H507" s="178"/>
      <c r="I507" s="178"/>
    </row>
    <row r="508" spans="2:21">
      <c r="C508" s="178" t="s">
        <v>688</v>
      </c>
      <c r="D508" s="178"/>
      <c r="E508" s="178"/>
      <c r="F508" s="178"/>
      <c r="G508" s="178"/>
      <c r="H508" s="178"/>
      <c r="I508" s="178"/>
    </row>
    <row r="509" spans="2:21">
      <c r="C509" s="178" t="s">
        <v>691</v>
      </c>
      <c r="D509" s="178"/>
      <c r="E509" s="178"/>
      <c r="F509" s="178"/>
      <c r="G509" s="178"/>
      <c r="H509" s="178"/>
      <c r="I509" s="178"/>
    </row>
    <row r="510" spans="2:21">
      <c r="C510" s="178" t="s">
        <v>694</v>
      </c>
      <c r="D510" s="178"/>
      <c r="E510" s="178"/>
      <c r="F510" s="178"/>
      <c r="G510" s="178"/>
      <c r="H510" s="178"/>
      <c r="I510" s="178"/>
    </row>
    <row r="511" spans="2:21">
      <c r="C511" s="178" t="s">
        <v>697</v>
      </c>
      <c r="D511" s="178"/>
      <c r="E511" s="178"/>
      <c r="F511" s="178"/>
      <c r="G511" s="178"/>
      <c r="H511" s="178"/>
      <c r="I511" s="178"/>
    </row>
    <row r="512" spans="2:21">
      <c r="C512" s="178" t="s">
        <v>699</v>
      </c>
      <c r="D512" s="178">
        <f>1/3*57</f>
        <v>19</v>
      </c>
      <c r="E512" s="178"/>
      <c r="F512" s="178"/>
      <c r="G512" s="178"/>
      <c r="H512" s="178"/>
      <c r="I512" s="178"/>
    </row>
    <row r="513" spans="1:21" ht="16.5" customHeight="1">
      <c r="C513" s="178" t="s">
        <v>772</v>
      </c>
      <c r="D513" s="178"/>
      <c r="E513" s="178"/>
      <c r="F513" s="178"/>
      <c r="G513" s="178"/>
      <c r="H513" s="178"/>
      <c r="I513" s="178"/>
      <c r="S513" s="149"/>
      <c r="T513" s="149"/>
      <c r="U513" s="149"/>
    </row>
    <row r="514" spans="1:21">
      <c r="C514" s="178" t="s">
        <v>702</v>
      </c>
      <c r="D514" s="178"/>
      <c r="E514" s="178"/>
      <c r="F514" s="178"/>
      <c r="G514" s="178"/>
      <c r="H514" s="178"/>
      <c r="I514" s="178"/>
    </row>
    <row r="515" spans="1:21">
      <c r="C515" s="178" t="s">
        <v>703</v>
      </c>
      <c r="D515" s="178"/>
      <c r="E515" s="178"/>
      <c r="F515" s="178"/>
      <c r="G515" s="178"/>
      <c r="H515" s="178"/>
      <c r="I515" s="178"/>
    </row>
    <row r="516" spans="1:21">
      <c r="C516" s="178" t="s">
        <v>704</v>
      </c>
      <c r="D516" s="178"/>
      <c r="E516" s="178"/>
      <c r="F516" s="178"/>
      <c r="G516" s="178"/>
      <c r="H516" s="178"/>
      <c r="I516" s="178"/>
    </row>
    <row r="517" spans="1:21">
      <c r="C517" s="178" t="s">
        <v>705</v>
      </c>
      <c r="D517" s="178"/>
      <c r="E517" s="178"/>
      <c r="F517" s="178"/>
      <c r="G517" s="178"/>
      <c r="H517" s="178"/>
      <c r="I517" s="178"/>
    </row>
    <row r="519" spans="1:21">
      <c r="R519" s="149"/>
    </row>
    <row r="520" spans="1:21">
      <c r="R520" s="149"/>
    </row>
    <row r="521" spans="1:21">
      <c r="A521" s="24" t="s">
        <v>733</v>
      </c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R521" s="149"/>
    </row>
    <row r="522" spans="1:21">
      <c r="R522" s="149"/>
    </row>
    <row r="523" spans="1:21">
      <c r="R523" s="149"/>
    </row>
    <row r="524" spans="1:21"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R524" s="149"/>
    </row>
    <row r="525" spans="1:21"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M525" t="s">
        <v>742</v>
      </c>
      <c r="R525" s="149"/>
    </row>
    <row r="526" spans="1:21"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M526" t="s">
        <v>743</v>
      </c>
      <c r="R526" s="149"/>
    </row>
    <row r="527" spans="1:21"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M527" t="s">
        <v>744</v>
      </c>
      <c r="R527" s="149"/>
    </row>
    <row r="528" spans="1:21"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M528" t="s">
        <v>745</v>
      </c>
      <c r="R528" s="149"/>
    </row>
    <row r="529" spans="2:18"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M529" t="s">
        <v>746</v>
      </c>
      <c r="R529" s="149"/>
    </row>
    <row r="530" spans="2:18"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R530" s="149"/>
    </row>
    <row r="531" spans="2:18"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R531" s="149"/>
    </row>
    <row r="532" spans="2:18"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R532" s="149"/>
    </row>
    <row r="533" spans="2:18"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R533" s="149"/>
    </row>
    <row r="534" spans="2:18"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R534" s="149"/>
    </row>
    <row r="535" spans="2:18"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R535" s="149"/>
    </row>
    <row r="536" spans="2:18"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R536" s="149"/>
    </row>
    <row r="537" spans="2:18"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R537" s="149"/>
    </row>
    <row r="538" spans="2:18">
      <c r="B538" s="177"/>
      <c r="C538" s="177"/>
      <c r="D538" s="177"/>
      <c r="E538" s="177" t="s">
        <v>45</v>
      </c>
      <c r="F538" s="177"/>
      <c r="G538" s="177"/>
      <c r="H538" s="177"/>
      <c r="I538" s="177"/>
      <c r="J538" s="177"/>
      <c r="K538" s="177"/>
      <c r="R538" s="149"/>
    </row>
    <row r="539" spans="2:18"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R539" s="149"/>
    </row>
    <row r="540" spans="2:18"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R540" s="149"/>
    </row>
    <row r="541" spans="2:18"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R541" s="149"/>
    </row>
    <row r="542" spans="2:18"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R542" s="149"/>
    </row>
    <row r="543" spans="2:18"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R543" s="149"/>
    </row>
    <row r="544" spans="2:18"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R544" s="149"/>
    </row>
    <row r="545" spans="1:18"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R545" s="149"/>
    </row>
    <row r="546" spans="1:18"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R546" s="149"/>
    </row>
    <row r="547" spans="1:18"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R547" s="149"/>
    </row>
    <row r="548" spans="1:18"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R548" s="149"/>
    </row>
    <row r="549" spans="1:18"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R549" s="149"/>
    </row>
    <row r="550" spans="1:18"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R550" s="149"/>
    </row>
    <row r="551" spans="1:18"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R551" s="149"/>
    </row>
    <row r="552" spans="1:18"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R552" s="149"/>
    </row>
    <row r="553" spans="1:18"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</row>
    <row r="558" spans="1:18">
      <c r="A558" s="24" t="s">
        <v>732</v>
      </c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</row>
    <row r="559" spans="1:18">
      <c r="I559" s="1"/>
    </row>
    <row r="561" spans="1:16">
      <c r="A561" s="6" t="s">
        <v>712</v>
      </c>
      <c r="B561" s="6" t="s">
        <v>731</v>
      </c>
    </row>
    <row r="562" spans="1:16">
      <c r="A562" s="178">
        <v>4</v>
      </c>
      <c r="B562" s="178">
        <f>SQRT($C$11)</f>
        <v>2.4477468306808161</v>
      </c>
    </row>
    <row r="564" spans="1:16">
      <c r="A564" s="6" t="s">
        <v>668</v>
      </c>
      <c r="H564" s="6" t="s">
        <v>669</v>
      </c>
      <c r="M564" s="6" t="s">
        <v>670</v>
      </c>
    </row>
    <row r="565" spans="1:16">
      <c r="A565" s="6" t="s">
        <v>713</v>
      </c>
      <c r="B565" s="6" t="s">
        <v>714</v>
      </c>
      <c r="C565" s="6" t="s">
        <v>530</v>
      </c>
      <c r="D565" s="6" t="s">
        <v>715</v>
      </c>
      <c r="E565" s="6" t="s">
        <v>256</v>
      </c>
      <c r="F565" s="6" t="s">
        <v>708</v>
      </c>
      <c r="H565" s="6" t="s">
        <v>530</v>
      </c>
      <c r="I565" s="6" t="s">
        <v>715</v>
      </c>
      <c r="J565" s="6" t="s">
        <v>256</v>
      </c>
      <c r="K565" s="6" t="s">
        <v>708</v>
      </c>
      <c r="M565" s="6" t="s">
        <v>530</v>
      </c>
      <c r="N565" s="6" t="s">
        <v>715</v>
      </c>
      <c r="O565" s="6" t="s">
        <v>256</v>
      </c>
      <c r="P565" s="6" t="s">
        <v>708</v>
      </c>
    </row>
    <row r="566" spans="1:16">
      <c r="A566" s="178">
        <v>-180</v>
      </c>
      <c r="B566" s="178">
        <f t="shared" ref="B566:B629" si="22">TAN(A566*PI()/180)</f>
        <v>1.22514845490862E-16</v>
      </c>
      <c r="C566" s="178">
        <f t="shared" ref="C566:C597" si="23">$B$562/(SQRT(1/(1-$C$169^2)*(1/$E$169+B566^2/$F$170-2*$C$169*B566/SQRT($E$169*$F$170))))</f>
        <v>0.71227410840803596</v>
      </c>
      <c r="D566" s="178">
        <f t="shared" ref="D566:D629" si="24">C566*SQRT(B566^2+1)</f>
        <v>0.71227410840803596</v>
      </c>
      <c r="E566" s="178">
        <f t="shared" ref="E566:E629" si="25">D566*COS(A566*PI()/180)+$C$158</f>
        <v>-0.57375622967502304</v>
      </c>
      <c r="F566" s="178">
        <f t="shared" ref="F566:F629" si="26">D566*SIN(A566*PI()/180)+$D$158</f>
        <v>-0.61482402784515977</v>
      </c>
      <c r="H566" s="178">
        <f t="shared" ref="H566:H597" si="27">$B$562/(SQRT(1/(1-$C$172^2)*(1/$E$172+B566^2/$F$173-2*$C$172*B566/SQRT($E$172*$F$173))))</f>
        <v>0.98430705766287108</v>
      </c>
      <c r="I566" s="178">
        <f t="shared" ref="I566:I629" si="28">H566*SQRT(B566^2+1)</f>
        <v>0.98430705766287108</v>
      </c>
      <c r="J566" s="178">
        <f t="shared" ref="J566:J629" si="29">I566*COS(A566*PI()/180)+$C$159</f>
        <v>-0.2395147344829005</v>
      </c>
      <c r="K566" s="178">
        <f t="shared" ref="K566:K629" si="30">I566*SIN(A566*PI()/180)+$D$159</f>
        <v>0.9534591418726186</v>
      </c>
      <c r="M566" s="178">
        <f t="shared" ref="M566:M597" si="31">$B$562/(SQRT(1/(1-$C$175^2)*(1/$E$175+B566^2/$F$176-2*$C$175*B566/SQRT($E$175*$F$176))))</f>
        <v>1.5402504380225392</v>
      </c>
      <c r="N566" s="178">
        <f t="shared" ref="N566:N629" si="32">M566*SQRT(B566^2+1)</f>
        <v>1.5402504380225392</v>
      </c>
      <c r="O566" s="178">
        <f t="shared" ref="O566:O629" si="33">N566*COS(A566*PI()/180)+$C$160</f>
        <v>-2.4235606399355212</v>
      </c>
      <c r="P566" s="178">
        <f t="shared" ref="P566:P629" si="34">N566*SIN(A566*PI()/180)+$D$160</f>
        <v>-0.33863511402745983</v>
      </c>
    </row>
    <row r="567" spans="1:16">
      <c r="A567" s="178">
        <f t="shared" ref="A567:A630" si="35">A566+$A$562</f>
        <v>-176</v>
      </c>
      <c r="B567" s="178">
        <f t="shared" si="22"/>
        <v>6.9926811943510636E-2</v>
      </c>
      <c r="C567" s="178">
        <f t="shared" si="23"/>
        <v>0.68389574885052207</v>
      </c>
      <c r="D567" s="178">
        <f t="shared" si="24"/>
        <v>0.68556575256736185</v>
      </c>
      <c r="E567" s="178">
        <f t="shared" si="25"/>
        <v>-0.54537787011750904</v>
      </c>
      <c r="F567" s="178">
        <f t="shared" si="26"/>
        <v>-0.66264667726399651</v>
      </c>
      <c r="H567" s="178">
        <f t="shared" si="27"/>
        <v>0.92846624145156598</v>
      </c>
      <c r="I567" s="178">
        <f t="shared" si="28"/>
        <v>0.93073346138499957</v>
      </c>
      <c r="J567" s="178">
        <f t="shared" si="29"/>
        <v>-0.18367391827159529</v>
      </c>
      <c r="K567" s="178">
        <f t="shared" si="30"/>
        <v>0.88853445761073691</v>
      </c>
      <c r="M567" s="178">
        <f t="shared" si="31"/>
        <v>1.4384802724405759</v>
      </c>
      <c r="N567" s="178">
        <f t="shared" si="32"/>
        <v>1.4419928946576523</v>
      </c>
      <c r="O567" s="178">
        <f t="shared" si="33"/>
        <v>-2.3217904743535578</v>
      </c>
      <c r="P567" s="178">
        <f t="shared" si="34"/>
        <v>-0.43922345352286174</v>
      </c>
    </row>
    <row r="568" spans="1:16">
      <c r="A568" s="178">
        <f t="shared" si="35"/>
        <v>-172</v>
      </c>
      <c r="B568" s="178">
        <f t="shared" si="22"/>
        <v>0.14054083470239176</v>
      </c>
      <c r="C568" s="178">
        <f t="shared" si="23"/>
        <v>0.65701459968740583</v>
      </c>
      <c r="D568" s="178">
        <f t="shared" si="24"/>
        <v>0.66347145831162468</v>
      </c>
      <c r="E568" s="178">
        <f t="shared" si="25"/>
        <v>-0.51849672095439292</v>
      </c>
      <c r="F568" s="178">
        <f t="shared" si="26"/>
        <v>-0.70716140809688544</v>
      </c>
      <c r="H568" s="178">
        <f t="shared" si="27"/>
        <v>0.87753730714098954</v>
      </c>
      <c r="I568" s="178">
        <f t="shared" si="28"/>
        <v>0.88616136866471051</v>
      </c>
      <c r="J568" s="178">
        <f t="shared" si="29"/>
        <v>-0.13274498396101897</v>
      </c>
      <c r="K568" s="178">
        <f t="shared" si="30"/>
        <v>0.8301293162445349</v>
      </c>
      <c r="M568" s="178">
        <f t="shared" si="31"/>
        <v>1.3399907542580953</v>
      </c>
      <c r="N568" s="178">
        <f t="shared" si="32"/>
        <v>1.3531596105698445</v>
      </c>
      <c r="O568" s="178">
        <f t="shared" si="33"/>
        <v>-2.223300956171077</v>
      </c>
      <c r="P568" s="178">
        <f t="shared" si="34"/>
        <v>-0.5269585331243799</v>
      </c>
    </row>
    <row r="569" spans="1:16">
      <c r="A569" s="178">
        <f t="shared" si="35"/>
        <v>-168</v>
      </c>
      <c r="B569" s="178">
        <f t="shared" si="22"/>
        <v>0.2125565616700221</v>
      </c>
      <c r="C569" s="178">
        <f t="shared" si="23"/>
        <v>0.63132839584146605</v>
      </c>
      <c r="D569" s="178">
        <f t="shared" si="24"/>
        <v>0.64543264775974907</v>
      </c>
      <c r="E569" s="178">
        <f t="shared" si="25"/>
        <v>-0.49281051710845314</v>
      </c>
      <c r="F569" s="178">
        <f t="shared" si="26"/>
        <v>-0.74901702094987233</v>
      </c>
      <c r="H569" s="178">
        <f t="shared" si="27"/>
        <v>0.8305618750239836</v>
      </c>
      <c r="I569" s="178">
        <f t="shared" si="28"/>
        <v>0.84911712138423345</v>
      </c>
      <c r="J569" s="178">
        <f t="shared" si="29"/>
        <v>-8.5769551844013026E-2</v>
      </c>
      <c r="K569" s="178">
        <f t="shared" si="30"/>
        <v>0.77691776546331415</v>
      </c>
      <c r="M569" s="178">
        <f t="shared" si="31"/>
        <v>1.2463775816041882</v>
      </c>
      <c r="N569" s="178">
        <f t="shared" si="32"/>
        <v>1.2742223982036622</v>
      </c>
      <c r="O569" s="178">
        <f t="shared" si="33"/>
        <v>-2.1296877835171704</v>
      </c>
      <c r="P569" s="178">
        <f t="shared" si="34"/>
        <v>-0.60356084731584325</v>
      </c>
    </row>
    <row r="570" spans="1:16">
      <c r="A570" s="178">
        <f t="shared" si="35"/>
        <v>-164</v>
      </c>
      <c r="B570" s="178">
        <f t="shared" si="22"/>
        <v>0.28674538575880848</v>
      </c>
      <c r="C570" s="178">
        <f t="shared" si="23"/>
        <v>0.60657128350665379</v>
      </c>
      <c r="D570" s="178">
        <f t="shared" si="24"/>
        <v>0.63101576404181992</v>
      </c>
      <c r="E570" s="178">
        <f t="shared" si="25"/>
        <v>-0.46805340477364088</v>
      </c>
      <c r="F570" s="178">
        <f t="shared" si="26"/>
        <v>-0.7887555445244907</v>
      </c>
      <c r="H570" s="178">
        <f t="shared" si="27"/>
        <v>0.78676366378982521</v>
      </c>
      <c r="I570" s="178">
        <f t="shared" si="28"/>
        <v>0.81846979559696242</v>
      </c>
      <c r="J570" s="178">
        <f t="shared" si="29"/>
        <v>-4.1971340609854524E-2</v>
      </c>
      <c r="K570" s="178">
        <f t="shared" si="30"/>
        <v>0.72785829159819182</v>
      </c>
      <c r="M570" s="178">
        <f t="shared" si="31"/>
        <v>1.1581903220723182</v>
      </c>
      <c r="N570" s="178">
        <f t="shared" si="32"/>
        <v>1.2048647386722</v>
      </c>
      <c r="O570" s="178">
        <f t="shared" si="33"/>
        <v>-2.0415005239853001</v>
      </c>
      <c r="P570" s="178">
        <f t="shared" si="34"/>
        <v>-0.67074084471220519</v>
      </c>
    </row>
    <row r="571" spans="1:16">
      <c r="A571" s="178">
        <f t="shared" si="35"/>
        <v>-160</v>
      </c>
      <c r="B571" s="178">
        <f t="shared" si="22"/>
        <v>0.36397023426620256</v>
      </c>
      <c r="C571" s="178">
        <f t="shared" si="23"/>
        <v>0.58250522554562301</v>
      </c>
      <c r="D571" s="178">
        <f t="shared" si="24"/>
        <v>0.61988911337671992</v>
      </c>
      <c r="E571" s="178">
        <f t="shared" si="25"/>
        <v>-0.4439873468126101</v>
      </c>
      <c r="F571" s="178">
        <f t="shared" si="26"/>
        <v>-0.82683859124828718</v>
      </c>
      <c r="H571" s="178">
        <f t="shared" si="27"/>
        <v>0.74550410144140455</v>
      </c>
      <c r="I571" s="178">
        <f t="shared" si="28"/>
        <v>0.79334889404357045</v>
      </c>
      <c r="J571" s="178">
        <f t="shared" si="29"/>
        <v>-7.1177826143398182E-4</v>
      </c>
      <c r="K571" s="178">
        <f t="shared" si="30"/>
        <v>0.68211783942457582</v>
      </c>
      <c r="M571" s="178">
        <f t="shared" si="31"/>
        <v>1.0753824848847067</v>
      </c>
      <c r="N571" s="178">
        <f t="shared" si="32"/>
        <v>1.1443981373242185</v>
      </c>
      <c r="O571" s="178">
        <f t="shared" si="33"/>
        <v>-1.9586926867976886</v>
      </c>
      <c r="P571" s="178">
        <f t="shared" si="34"/>
        <v>-0.73004232897671728</v>
      </c>
    </row>
    <row r="572" spans="1:16">
      <c r="A572" s="178">
        <f t="shared" si="35"/>
        <v>-156</v>
      </c>
      <c r="B572" s="178">
        <f t="shared" si="22"/>
        <v>0.44522868530853649</v>
      </c>
      <c r="C572" s="178">
        <f t="shared" si="23"/>
        <v>0.5589124146771971</v>
      </c>
      <c r="D572" s="178">
        <f t="shared" si="24"/>
        <v>0.61180580561307552</v>
      </c>
      <c r="E572" s="178">
        <f t="shared" si="25"/>
        <v>-0.42039453594418419</v>
      </c>
      <c r="F572" s="178">
        <f t="shared" si="26"/>
        <v>-0.86366786743450774</v>
      </c>
      <c r="H572" s="178">
        <f t="shared" si="27"/>
        <v>0.70624833715759949</v>
      </c>
      <c r="I572" s="178">
        <f t="shared" si="28"/>
        <v>0.77308505148727857</v>
      </c>
      <c r="J572" s="178">
        <f t="shared" si="29"/>
        <v>3.854398602237108E-2</v>
      </c>
      <c r="K572" s="178">
        <f t="shared" si="30"/>
        <v>0.63901712321860071</v>
      </c>
      <c r="M572" s="178">
        <f t="shared" si="31"/>
        <v>0.99759495811523136</v>
      </c>
      <c r="N572" s="178">
        <f t="shared" si="32"/>
        <v>1.0920036324076525</v>
      </c>
      <c r="O572" s="178">
        <f t="shared" si="33"/>
        <v>-1.8809051600282132</v>
      </c>
      <c r="P572" s="178">
        <f t="shared" si="34"/>
        <v>-0.78279300569952859</v>
      </c>
    </row>
    <row r="573" spans="1:16">
      <c r="A573" s="178">
        <f t="shared" si="35"/>
        <v>-152</v>
      </c>
      <c r="B573" s="178">
        <f t="shared" si="22"/>
        <v>0.53170943166147921</v>
      </c>
      <c r="C573" s="178">
        <f t="shared" si="23"/>
        <v>0.5355884966999841</v>
      </c>
      <c r="D573" s="178">
        <f t="shared" si="24"/>
        <v>0.60659149085596731</v>
      </c>
      <c r="E573" s="178">
        <f t="shared" si="25"/>
        <v>-0.39707061796697107</v>
      </c>
      <c r="F573" s="178">
        <f t="shared" si="26"/>
        <v>-0.89960148302993415</v>
      </c>
      <c r="H573" s="178">
        <f t="shared" si="27"/>
        <v>0.66853905056891261</v>
      </c>
      <c r="I573" s="178">
        <f t="shared" si="28"/>
        <v>0.7571673063904355</v>
      </c>
      <c r="J573" s="178">
        <f t="shared" si="29"/>
        <v>7.6253272611058076E-2</v>
      </c>
      <c r="K573" s="178">
        <f t="shared" si="30"/>
        <v>0.5979906232511174</v>
      </c>
      <c r="M573" s="178">
        <f t="shared" si="31"/>
        <v>0.9243235865092404</v>
      </c>
      <c r="N573" s="178">
        <f t="shared" si="32"/>
        <v>1.0468612112258451</v>
      </c>
      <c r="O573" s="178">
        <f t="shared" si="33"/>
        <v>-1.8076337884222224</v>
      </c>
      <c r="P573" s="178">
        <f t="shared" si="34"/>
        <v>-0.83010668288158795</v>
      </c>
    </row>
    <row r="574" spans="1:16">
      <c r="A574" s="178">
        <f t="shared" si="35"/>
        <v>-148</v>
      </c>
      <c r="B574" s="178">
        <f t="shared" si="22"/>
        <v>0.62486935190932746</v>
      </c>
      <c r="C574" s="178">
        <f t="shared" si="23"/>
        <v>0.51233634112175397</v>
      </c>
      <c r="D574" s="178">
        <f t="shared" si="24"/>
        <v>0.60413594870832821</v>
      </c>
      <c r="E574" s="178">
        <f t="shared" si="25"/>
        <v>-0.37381846238874106</v>
      </c>
      <c r="F574" s="178">
        <f t="shared" si="26"/>
        <v>-0.93496730528150618</v>
      </c>
      <c r="H574" s="178">
        <f t="shared" si="27"/>
        <v>0.6319759514856006</v>
      </c>
      <c r="I574" s="178">
        <f t="shared" si="28"/>
        <v>0.74521239343603218</v>
      </c>
      <c r="J574" s="178">
        <f t="shared" si="29"/>
        <v>0.11281637169436998</v>
      </c>
      <c r="K574" s="178">
        <f t="shared" si="30"/>
        <v>0.5585567386455309</v>
      </c>
      <c r="M574" s="178">
        <f t="shared" si="31"/>
        <v>0.85501316498649893</v>
      </c>
      <c r="N574" s="178">
        <f t="shared" si="32"/>
        <v>1.0082130587423526</v>
      </c>
      <c r="O574" s="178">
        <f t="shared" si="33"/>
        <v>-1.7383233668994809</v>
      </c>
      <c r="P574" s="178">
        <f t="shared" si="34"/>
        <v>-0.8729066363065161</v>
      </c>
    </row>
    <row r="575" spans="1:16">
      <c r="A575" s="178">
        <f t="shared" si="35"/>
        <v>-144</v>
      </c>
      <c r="B575" s="178">
        <f t="shared" si="22"/>
        <v>0.72654252800536101</v>
      </c>
      <c r="C575" s="178">
        <f t="shared" si="23"/>
        <v>0.48896007089905152</v>
      </c>
      <c r="D575" s="178">
        <f t="shared" si="24"/>
        <v>0.60438788591434445</v>
      </c>
      <c r="E575" s="178">
        <f t="shared" si="25"/>
        <v>-0.35044219216603856</v>
      </c>
      <c r="F575" s="178">
        <f t="shared" si="26"/>
        <v>-0.97007431384983711</v>
      </c>
      <c r="H575" s="178">
        <f t="shared" si="27"/>
        <v>0.5961993353995817</v>
      </c>
      <c r="I575" s="178">
        <f t="shared" si="28"/>
        <v>0.7369429066940798</v>
      </c>
      <c r="J575" s="178">
        <f t="shared" si="29"/>
        <v>0.14859298778038887</v>
      </c>
      <c r="K575" s="178">
        <f t="shared" si="30"/>
        <v>0.5202949695362904</v>
      </c>
      <c r="M575" s="178">
        <f t="shared" si="31"/>
        <v>0.78910707440414996</v>
      </c>
      <c r="N575" s="178">
        <f t="shared" si="32"/>
        <v>0.97538998548951383</v>
      </c>
      <c r="O575" s="178">
        <f t="shared" si="33"/>
        <v>-1.6724172763171321</v>
      </c>
      <c r="P575" s="178">
        <f t="shared" si="34"/>
        <v>-0.91195496273196541</v>
      </c>
    </row>
    <row r="576" spans="1:16">
      <c r="A576" s="178">
        <f t="shared" si="35"/>
        <v>-140</v>
      </c>
      <c r="B576" s="178">
        <f t="shared" si="22"/>
        <v>0.83909963117728037</v>
      </c>
      <c r="C576" s="178">
        <f t="shared" si="23"/>
        <v>0.46525904369706311</v>
      </c>
      <c r="D576" s="178">
        <f t="shared" si="24"/>
        <v>0.60735254706991137</v>
      </c>
      <c r="E576" s="178">
        <f t="shared" si="25"/>
        <v>-0.32674116496405015</v>
      </c>
      <c r="F576" s="178">
        <f t="shared" si="26"/>
        <v>-1.0052227198132595</v>
      </c>
      <c r="H576" s="178">
        <f t="shared" si="27"/>
        <v>0.56087643213633287</v>
      </c>
      <c r="I576" s="178">
        <f t="shared" si="28"/>
        <v>0.73217218292545005</v>
      </c>
      <c r="J576" s="178">
        <f t="shared" si="29"/>
        <v>0.18391589104363781</v>
      </c>
      <c r="K576" s="178">
        <f t="shared" si="30"/>
        <v>0.48282793453099293</v>
      </c>
      <c r="M576" s="178">
        <f t="shared" si="31"/>
        <v>0.72607108484917959</v>
      </c>
      <c r="N576" s="178">
        <f t="shared" si="32"/>
        <v>0.9478184867355145</v>
      </c>
      <c r="O576" s="178">
        <f t="shared" si="33"/>
        <v>-1.6093812867621615</v>
      </c>
      <c r="P576" s="178">
        <f t="shared" si="34"/>
        <v>-0.94788109353289407</v>
      </c>
    </row>
    <row r="577" spans="1:16">
      <c r="A577" s="178">
        <f t="shared" si="35"/>
        <v>-136</v>
      </c>
      <c r="B577" s="178">
        <f t="shared" si="22"/>
        <v>0.96568877480707371</v>
      </c>
      <c r="C577" s="178">
        <f t="shared" si="23"/>
        <v>0.44102144663990528</v>
      </c>
      <c r="D577" s="178">
        <f t="shared" si="24"/>
        <v>0.61309195797630123</v>
      </c>
      <c r="E577" s="178">
        <f t="shared" si="25"/>
        <v>-0.30250356790689237</v>
      </c>
      <c r="F577" s="178">
        <f t="shared" si="26"/>
        <v>-1.0407134883144931</v>
      </c>
      <c r="H577" s="178">
        <f t="shared" si="27"/>
        <v>0.52568955052350075</v>
      </c>
      <c r="I577" s="178">
        <f t="shared" si="28"/>
        <v>0.73079447331569347</v>
      </c>
      <c r="J577" s="178">
        <f t="shared" si="29"/>
        <v>0.21910277265646982</v>
      </c>
      <c r="K577" s="178">
        <f t="shared" si="30"/>
        <v>0.44580664389869806</v>
      </c>
      <c r="M577" s="178">
        <f t="shared" si="31"/>
        <v>0.66540251766726721</v>
      </c>
      <c r="N577" s="178">
        <f t="shared" si="32"/>
        <v>0.92501835343186711</v>
      </c>
      <c r="O577" s="178">
        <f t="shared" si="33"/>
        <v>-1.5487127195802493</v>
      </c>
      <c r="P577" s="178">
        <f t="shared" si="34"/>
        <v>-0.98120685606710523</v>
      </c>
    </row>
    <row r="578" spans="1:16">
      <c r="A578" s="178">
        <f t="shared" si="35"/>
        <v>-132</v>
      </c>
      <c r="B578" s="178">
        <f t="shared" si="22"/>
        <v>1.1106125148291928</v>
      </c>
      <c r="C578" s="178">
        <f t="shared" si="23"/>
        <v>0.41601711317067669</v>
      </c>
      <c r="D578" s="178">
        <f t="shared" si="24"/>
        <v>0.62172781997594739</v>
      </c>
      <c r="E578" s="178">
        <f t="shared" si="25"/>
        <v>-0.27749923443766378</v>
      </c>
      <c r="F578" s="178">
        <f t="shared" si="26"/>
        <v>-1.0768578401156259</v>
      </c>
      <c r="H578" s="178">
        <f t="shared" si="27"/>
        <v>0.49032519303388611</v>
      </c>
      <c r="I578" s="178">
        <f t="shared" si="28"/>
        <v>0.73277950279698034</v>
      </c>
      <c r="J578" s="178">
        <f t="shared" si="29"/>
        <v>0.25446713014608446</v>
      </c>
      <c r="K578" s="178">
        <f t="shared" si="30"/>
        <v>0.40889784615314506</v>
      </c>
      <c r="M578" s="178">
        <f t="shared" si="31"/>
        <v>0.60663132146811904</v>
      </c>
      <c r="N578" s="178">
        <f t="shared" si="32"/>
        <v>0.90659628434748285</v>
      </c>
      <c r="O578" s="178">
        <f t="shared" si="33"/>
        <v>-1.4899415233811011</v>
      </c>
      <c r="P578" s="178">
        <f t="shared" si="34"/>
        <v>-1.012367451537324</v>
      </c>
    </row>
    <row r="579" spans="1:16">
      <c r="A579" s="178">
        <f t="shared" si="35"/>
        <v>-128</v>
      </c>
      <c r="B579" s="178">
        <f t="shared" si="22"/>
        <v>1.2799416321930788</v>
      </c>
      <c r="C579" s="178">
        <f t="shared" si="23"/>
        <v>0.3899890832704741</v>
      </c>
      <c r="D579" s="178">
        <f t="shared" si="24"/>
        <v>0.63344727403024004</v>
      </c>
      <c r="E579" s="178">
        <f t="shared" si="25"/>
        <v>-0.25147120453746119</v>
      </c>
      <c r="F579" s="178">
        <f t="shared" si="26"/>
        <v>-1.1139872916238529</v>
      </c>
      <c r="H579" s="178">
        <f t="shared" si="27"/>
        <v>0.45446340364138499</v>
      </c>
      <c r="I579" s="178">
        <f t="shared" si="28"/>
        <v>0.73817092973211218</v>
      </c>
      <c r="J579" s="178">
        <f t="shared" si="29"/>
        <v>0.29032891953858553</v>
      </c>
      <c r="K579" s="178">
        <f t="shared" si="30"/>
        <v>0.37177251124384236</v>
      </c>
      <c r="M579" s="178">
        <f t="shared" si="31"/>
        <v>0.54931680708198305</v>
      </c>
      <c r="N579" s="178">
        <f t="shared" si="32"/>
        <v>0.89223839577004271</v>
      </c>
      <c r="O579" s="178">
        <f t="shared" si="33"/>
        <v>-1.4326270089949651</v>
      </c>
      <c r="P579" s="178">
        <f t="shared" si="34"/>
        <v>-1.0417285646750638</v>
      </c>
    </row>
    <row r="580" spans="1:16">
      <c r="A580" s="178">
        <f t="shared" si="35"/>
        <v>-124</v>
      </c>
      <c r="B580" s="178">
        <f t="shared" si="22"/>
        <v>1.4825609685127408</v>
      </c>
      <c r="C580" s="178">
        <f t="shared" si="23"/>
        <v>0.36264329323131833</v>
      </c>
      <c r="D580" s="178">
        <f t="shared" si="24"/>
        <v>0.6485119732036968</v>
      </c>
      <c r="E580" s="178">
        <f t="shared" si="25"/>
        <v>-0.22412541449830534</v>
      </c>
      <c r="F580" s="178">
        <f t="shared" si="26"/>
        <v>-1.1524648198828329</v>
      </c>
      <c r="H580" s="178">
        <f t="shared" si="27"/>
        <v>0.4177666263889675</v>
      </c>
      <c r="I580" s="178">
        <f t="shared" si="28"/>
        <v>0.74708856960811254</v>
      </c>
      <c r="J580" s="178">
        <f t="shared" si="29"/>
        <v>0.32702569679100307</v>
      </c>
      <c r="K580" s="178">
        <f t="shared" si="30"/>
        <v>0.33409464764109076</v>
      </c>
      <c r="M580" s="178">
        <f t="shared" si="31"/>
        <v>0.49304212117115559</v>
      </c>
      <c r="N580" s="178">
        <f t="shared" si="32"/>
        <v>0.88170310837456523</v>
      </c>
      <c r="O580" s="178">
        <f t="shared" si="33"/>
        <v>-1.3763523230841375</v>
      </c>
      <c r="P580" s="178">
        <f t="shared" si="34"/>
        <v>-1.0696001187085442</v>
      </c>
    </row>
    <row r="581" spans="1:16">
      <c r="A581" s="178">
        <f t="shared" si="35"/>
        <v>-120</v>
      </c>
      <c r="B581" s="178">
        <f t="shared" si="22"/>
        <v>1.7320508075688783</v>
      </c>
      <c r="C581" s="178">
        <f t="shared" si="23"/>
        <v>0.33363557967390534</v>
      </c>
      <c r="D581" s="178">
        <f t="shared" si="24"/>
        <v>0.667271159347811</v>
      </c>
      <c r="E581" s="178">
        <f t="shared" si="25"/>
        <v>-0.1951177009408924</v>
      </c>
      <c r="F581" s="178">
        <f t="shared" si="26"/>
        <v>-1.1926978030530582</v>
      </c>
      <c r="H581" s="178">
        <f t="shared" si="27"/>
        <v>0.37986728990735696</v>
      </c>
      <c r="I581" s="178">
        <f t="shared" si="28"/>
        <v>0.75973457981471426</v>
      </c>
      <c r="J581" s="178">
        <f t="shared" si="29"/>
        <v>0.36492503327261361</v>
      </c>
      <c r="K581" s="178">
        <f t="shared" si="30"/>
        <v>0.29550969561957996</v>
      </c>
      <c r="M581" s="178">
        <f t="shared" si="31"/>
        <v>0.43740756305319178</v>
      </c>
      <c r="N581" s="178">
        <f t="shared" si="32"/>
        <v>0.8748151261063839</v>
      </c>
      <c r="O581" s="178">
        <f t="shared" si="33"/>
        <v>-1.3207177649661739</v>
      </c>
      <c r="P581" s="178">
        <f t="shared" si="34"/>
        <v>-1.0962472368504754</v>
      </c>
    </row>
    <row r="582" spans="1:16">
      <c r="A582" s="178">
        <f t="shared" si="35"/>
        <v>-116</v>
      </c>
      <c r="B582" s="178">
        <f t="shared" si="22"/>
        <v>2.0503038415792956</v>
      </c>
      <c r="C582" s="178">
        <f t="shared" si="23"/>
        <v>0.30255488843354317</v>
      </c>
      <c r="D582" s="178">
        <f t="shared" si="24"/>
        <v>0.69017974985273756</v>
      </c>
      <c r="E582" s="178">
        <f t="shared" si="25"/>
        <v>-0.16403700970053028</v>
      </c>
      <c r="F582" s="178">
        <f t="shared" si="26"/>
        <v>-1.2351534778890485</v>
      </c>
      <c r="H582" s="178">
        <f t="shared" si="27"/>
        <v>0.34035318253590208</v>
      </c>
      <c r="I582" s="178">
        <f t="shared" si="28"/>
        <v>0.77640416124299172</v>
      </c>
      <c r="J582" s="178">
        <f t="shared" si="29"/>
        <v>0.40443914064406844</v>
      </c>
      <c r="K582" s="178">
        <f t="shared" si="30"/>
        <v>0.2556317042255194</v>
      </c>
      <c r="M582" s="178">
        <f t="shared" si="31"/>
        <v>0.38202328072969177</v>
      </c>
      <c r="N582" s="178">
        <f t="shared" si="32"/>
        <v>0.87146082384272994</v>
      </c>
      <c r="O582" s="178">
        <f t="shared" si="33"/>
        <v>-1.2653334826426739</v>
      </c>
      <c r="P582" s="178">
        <f t="shared" si="34"/>
        <v>-1.1218989140802724</v>
      </c>
    </row>
    <row r="583" spans="1:16">
      <c r="A583" s="178">
        <f t="shared" si="35"/>
        <v>-112</v>
      </c>
      <c r="B583" s="178">
        <f t="shared" si="22"/>
        <v>2.4750868534162955</v>
      </c>
      <c r="C583" s="178">
        <f t="shared" si="23"/>
        <v>0.2689011575102449</v>
      </c>
      <c r="D583" s="178">
        <f t="shared" si="24"/>
        <v>0.71782280994636338</v>
      </c>
      <c r="E583" s="178">
        <f t="shared" si="25"/>
        <v>-0.13038327877723191</v>
      </c>
      <c r="F583" s="178">
        <f t="shared" si="26"/>
        <v>-1.2803777476671914</v>
      </c>
      <c r="H583" s="178">
        <f t="shared" si="27"/>
        <v>0.29874941860157522</v>
      </c>
      <c r="I583" s="178">
        <f t="shared" si="28"/>
        <v>0.79750176278900831</v>
      </c>
      <c r="J583" s="178">
        <f t="shared" si="29"/>
        <v>0.4460429045783954</v>
      </c>
      <c r="K583" s="178">
        <f t="shared" si="30"/>
        <v>0.2140283834260982</v>
      </c>
      <c r="M583" s="178">
        <f t="shared" si="31"/>
        <v>0.32650154965023132</v>
      </c>
      <c r="N583" s="178">
        <f t="shared" si="32"/>
        <v>0.87158516531429142</v>
      </c>
      <c r="O583" s="178">
        <f t="shared" si="33"/>
        <v>-1.2098117515632132</v>
      </c>
      <c r="P583" s="178">
        <f t="shared" si="34"/>
        <v>-1.146754807186795</v>
      </c>
    </row>
    <row r="584" spans="1:16">
      <c r="A584" s="178">
        <f t="shared" si="35"/>
        <v>-108</v>
      </c>
      <c r="B584" s="178">
        <f t="shared" si="22"/>
        <v>3.077683537175254</v>
      </c>
      <c r="C584" s="178">
        <f t="shared" si="23"/>
        <v>0.23205575336736559</v>
      </c>
      <c r="D584" s="178">
        <f t="shared" si="24"/>
        <v>0.75094819246672084</v>
      </c>
      <c r="E584" s="178">
        <f t="shared" si="25"/>
        <v>-9.3537874634352619E-2</v>
      </c>
      <c r="F584" s="178">
        <f t="shared" si="26"/>
        <v>-1.3290181996907018</v>
      </c>
      <c r="H584" s="178">
        <f t="shared" si="27"/>
        <v>0.25449537510252657</v>
      </c>
      <c r="I584" s="178">
        <f t="shared" si="28"/>
        <v>0.82356433379108362</v>
      </c>
      <c r="J584" s="178">
        <f t="shared" si="29"/>
        <v>0.49029694807744401</v>
      </c>
      <c r="K584" s="178">
        <f t="shared" si="30"/>
        <v>0.17020291563233159</v>
      </c>
      <c r="M584" s="178">
        <f t="shared" si="31"/>
        <v>0.27044864113038958</v>
      </c>
      <c r="N584" s="178">
        <f t="shared" si="32"/>
        <v>0.87519018712038643</v>
      </c>
      <c r="O584" s="178">
        <f t="shared" si="33"/>
        <v>-1.1537588430433716</v>
      </c>
      <c r="P584" s="178">
        <f t="shared" si="34"/>
        <v>-1.1709904444858781</v>
      </c>
    </row>
    <row r="585" spans="1:16">
      <c r="A585" s="178">
        <f t="shared" si="35"/>
        <v>-104</v>
      </c>
      <c r="B585" s="178">
        <f t="shared" si="22"/>
        <v>4.0107809335358438</v>
      </c>
      <c r="C585" s="178">
        <f t="shared" si="23"/>
        <v>0.19124154850872144</v>
      </c>
      <c r="D585" s="178">
        <f t="shared" si="24"/>
        <v>0.79050946601868499</v>
      </c>
      <c r="E585" s="178">
        <f t="shared" si="25"/>
        <v>-5.2723669775708498E-2</v>
      </c>
      <c r="F585" s="178">
        <f t="shared" si="26"/>
        <v>-1.3818519843038097</v>
      </c>
      <c r="H585" s="178">
        <f t="shared" si="27"/>
        <v>0.20691432915281391</v>
      </c>
      <c r="I585" s="178">
        <f t="shared" si="28"/>
        <v>0.85529393129101317</v>
      </c>
      <c r="J585" s="178">
        <f t="shared" si="29"/>
        <v>0.53787799402715664</v>
      </c>
      <c r="K585" s="178">
        <f t="shared" si="30"/>
        <v>0.12357109563115287</v>
      </c>
      <c r="M585" s="178">
        <f t="shared" si="31"/>
        <v>0.21345616907893955</v>
      </c>
      <c r="N585" s="178">
        <f t="shared" si="32"/>
        <v>0.88233505507978782</v>
      </c>
      <c r="O585" s="178">
        <f t="shared" si="33"/>
        <v>-1.0967663709919215</v>
      </c>
      <c r="P585" s="178">
        <f t="shared" si="34"/>
        <v>-1.1947610471148737</v>
      </c>
    </row>
    <row r="586" spans="1:16">
      <c r="A586" s="178">
        <f t="shared" si="35"/>
        <v>-100</v>
      </c>
      <c r="B586" s="178">
        <f t="shared" si="22"/>
        <v>5.6712818196177111</v>
      </c>
      <c r="C586" s="178">
        <f t="shared" si="23"/>
        <v>0.14546876101420481</v>
      </c>
      <c r="D586" s="178">
        <f t="shared" si="24"/>
        <v>0.83772120714807807</v>
      </c>
      <c r="E586" s="178">
        <f t="shared" si="25"/>
        <v>-6.9508822811918392E-3</v>
      </c>
      <c r="F586" s="178">
        <f t="shared" si="26"/>
        <v>-1.4398183675073328</v>
      </c>
      <c r="H586" s="178">
        <f t="shared" si="27"/>
        <v>0.15517254137776437</v>
      </c>
      <c r="I586" s="178">
        <f t="shared" si="28"/>
        <v>0.89360305108065374</v>
      </c>
      <c r="J586" s="178">
        <f t="shared" si="29"/>
        <v>0.5896197818022062</v>
      </c>
      <c r="K586" s="178">
        <f t="shared" si="30"/>
        <v>7.3431929053026757E-2</v>
      </c>
      <c r="M586" s="178">
        <f t="shared" si="31"/>
        <v>0.15509173276207749</v>
      </c>
      <c r="N586" s="178">
        <f t="shared" si="32"/>
        <v>0.89313769280985245</v>
      </c>
      <c r="O586" s="178">
        <f t="shared" si="33"/>
        <v>-1.0384019346750595</v>
      </c>
      <c r="P586" s="178">
        <f t="shared" si="34"/>
        <v>-1.2182040384140382</v>
      </c>
    </row>
    <row r="587" spans="1:16">
      <c r="A587" s="178">
        <f t="shared" si="35"/>
        <v>-96</v>
      </c>
      <c r="B587" s="178">
        <f t="shared" si="22"/>
        <v>9.5143644542225978</v>
      </c>
      <c r="C587" s="178">
        <f t="shared" si="23"/>
        <v>9.3461768406406825E-2</v>
      </c>
      <c r="D587" s="178">
        <f t="shared" si="24"/>
        <v>0.89412745088474743</v>
      </c>
      <c r="E587" s="178">
        <f t="shared" si="25"/>
        <v>4.5056110326606114E-2</v>
      </c>
      <c r="F587" s="178">
        <f t="shared" si="26"/>
        <v>-1.5040533549998614</v>
      </c>
      <c r="H587" s="178">
        <f t="shared" si="27"/>
        <v>9.8223048274331218E-2</v>
      </c>
      <c r="I587" s="178">
        <f t="shared" si="28"/>
        <v>0.93967753092115591</v>
      </c>
      <c r="J587" s="178">
        <f t="shared" si="29"/>
        <v>0.64656927490563931</v>
      </c>
      <c r="K587" s="178">
        <f t="shared" si="30"/>
        <v>1.8929262785931433E-2</v>
      </c>
      <c r="M587" s="178">
        <f t="shared" si="31"/>
        <v>9.4888636742227472E-2</v>
      </c>
      <c r="N587" s="178">
        <f t="shared" si="32"/>
        <v>0.90777797526074488</v>
      </c>
      <c r="O587" s="178">
        <f t="shared" si="33"/>
        <v>-0.97819883865520951</v>
      </c>
      <c r="P587" s="178">
        <f t="shared" si="34"/>
        <v>-1.2414401865573492</v>
      </c>
    </row>
    <row r="588" spans="1:16">
      <c r="A588" s="178">
        <f t="shared" si="35"/>
        <v>-92</v>
      </c>
      <c r="B588" s="178">
        <f t="shared" si="22"/>
        <v>28.636253282915796</v>
      </c>
      <c r="C588" s="178">
        <f t="shared" si="23"/>
        <v>3.3562127209044418E-2</v>
      </c>
      <c r="D588" s="178">
        <f t="shared" si="24"/>
        <v>0.96167940458119872</v>
      </c>
      <c r="E588" s="178">
        <f t="shared" si="25"/>
        <v>0.10495575152396852</v>
      </c>
      <c r="F588" s="178">
        <f t="shared" si="26"/>
        <v>-1.5759176033167954</v>
      </c>
      <c r="H588" s="178">
        <f t="shared" si="27"/>
        <v>3.472722834388732E-2</v>
      </c>
      <c r="I588" s="178">
        <f t="shared" si="28"/>
        <v>0.99506387269472929</v>
      </c>
      <c r="J588" s="178">
        <f t="shared" si="29"/>
        <v>0.71006509483608327</v>
      </c>
      <c r="K588" s="178">
        <f t="shared" si="30"/>
        <v>-4.099856479659103E-2</v>
      </c>
      <c r="M588" s="178">
        <f t="shared" si="31"/>
        <v>3.2334469114219007E-2</v>
      </c>
      <c r="N588" s="178">
        <f t="shared" si="32"/>
        <v>0.92650244758120159</v>
      </c>
      <c r="O588" s="178">
        <f t="shared" si="33"/>
        <v>-0.91564467102720104</v>
      </c>
      <c r="P588" s="178">
        <f t="shared" si="34"/>
        <v>-1.2645731613508531</v>
      </c>
    </row>
    <row r="589" spans="1:16">
      <c r="A589" s="178">
        <f t="shared" si="35"/>
        <v>-88</v>
      </c>
      <c r="B589" s="178">
        <f t="shared" si="22"/>
        <v>-28.636253282915515</v>
      </c>
      <c r="C589" s="178">
        <f t="shared" si="23"/>
        <v>3.6393371764455826E-2</v>
      </c>
      <c r="D589" s="178">
        <f t="shared" si="24"/>
        <v>1.0428050603333683</v>
      </c>
      <c r="E589" s="178">
        <f t="shared" si="25"/>
        <v>0.17491125049746875</v>
      </c>
      <c r="F589" s="178">
        <f t="shared" si="26"/>
        <v>-1.6569938395114225</v>
      </c>
      <c r="H589" s="178">
        <f t="shared" si="27"/>
        <v>3.7055946871229581E-2</v>
      </c>
      <c r="I589" s="178">
        <f t="shared" si="28"/>
        <v>1.0617902942014048</v>
      </c>
      <c r="J589" s="178">
        <f t="shared" si="29"/>
        <v>0.78184827005120017</v>
      </c>
      <c r="K589" s="178">
        <f t="shared" si="30"/>
        <v>-0.10768433837017233</v>
      </c>
      <c r="M589" s="178">
        <f t="shared" si="31"/>
        <v>3.3141624350420833E-2</v>
      </c>
      <c r="N589" s="178">
        <f t="shared" si="32"/>
        <v>0.94963043831075455</v>
      </c>
      <c r="O589" s="178">
        <f t="shared" si="33"/>
        <v>-0.85016857756256126</v>
      </c>
      <c r="P589" s="178">
        <f t="shared" si="34"/>
        <v>-1.287687063133351</v>
      </c>
    </row>
    <row r="590" spans="1:16">
      <c r="A590" s="178">
        <f t="shared" si="35"/>
        <v>-84</v>
      </c>
      <c r="B590" s="178">
        <f t="shared" si="22"/>
        <v>-9.5143644542225871</v>
      </c>
      <c r="C590" s="178">
        <f t="shared" si="23"/>
        <v>0.11920616313346483</v>
      </c>
      <c r="D590" s="178">
        <f t="shared" si="24"/>
        <v>1.1404182115279735</v>
      </c>
      <c r="E590" s="178">
        <f t="shared" si="25"/>
        <v>0.25772404186647779</v>
      </c>
      <c r="F590" s="178">
        <f t="shared" si="26"/>
        <v>-1.7489949090864565</v>
      </c>
      <c r="H590" s="178">
        <f t="shared" si="27"/>
        <v>0.11942722779110047</v>
      </c>
      <c r="I590" s="178">
        <f t="shared" si="28"/>
        <v>1.1425330867564516</v>
      </c>
      <c r="J590" s="178">
        <f t="shared" si="29"/>
        <v>0.86421955097107106</v>
      </c>
      <c r="K590" s="178">
        <f t="shared" si="30"/>
        <v>-0.18281502908937142</v>
      </c>
      <c r="M590" s="178">
        <f t="shared" si="31"/>
        <v>0.10218297310111984</v>
      </c>
      <c r="N590" s="178">
        <f t="shared" si="32"/>
        <v>0.97756122980084581</v>
      </c>
      <c r="O590" s="178">
        <f t="shared" si="33"/>
        <v>-0.78112722881186225</v>
      </c>
      <c r="P590" s="178">
        <f t="shared" si="34"/>
        <v>-1.310841161127537</v>
      </c>
    </row>
    <row r="591" spans="1:16">
      <c r="A591" s="178">
        <f t="shared" si="35"/>
        <v>-80</v>
      </c>
      <c r="B591" s="178">
        <f t="shared" si="22"/>
        <v>-5.6712818196177066</v>
      </c>
      <c r="C591" s="178">
        <f t="shared" si="23"/>
        <v>0.21840224357926666</v>
      </c>
      <c r="D591" s="178">
        <f t="shared" si="24"/>
        <v>1.2577283937766262</v>
      </c>
      <c r="E591" s="178">
        <f t="shared" si="25"/>
        <v>0.35692012231227954</v>
      </c>
      <c r="F591" s="178">
        <f t="shared" si="26"/>
        <v>-1.8534447012199724</v>
      </c>
      <c r="H591" s="178">
        <f t="shared" si="27"/>
        <v>0.21546947450412898</v>
      </c>
      <c r="I591" s="178">
        <f t="shared" si="28"/>
        <v>1.2408392497928469</v>
      </c>
      <c r="J591" s="178">
        <f t="shared" si="29"/>
        <v>0.96026179768409947</v>
      </c>
      <c r="K591" s="178">
        <f t="shared" si="30"/>
        <v>-0.2685289715652287</v>
      </c>
      <c r="M591" s="178">
        <f t="shared" si="31"/>
        <v>0.17552037086964969</v>
      </c>
      <c r="N591" s="178">
        <f t="shared" si="32"/>
        <v>1.0107815309545618</v>
      </c>
      <c r="O591" s="178">
        <f t="shared" si="33"/>
        <v>-0.70778983104333237</v>
      </c>
      <c r="P591" s="178">
        <f t="shared" si="34"/>
        <v>-1.3340606023130612</v>
      </c>
    </row>
    <row r="592" spans="1:16">
      <c r="A592" s="178">
        <f t="shared" si="35"/>
        <v>-76</v>
      </c>
      <c r="B592" s="178">
        <f t="shared" si="22"/>
        <v>-4.010780933535842</v>
      </c>
      <c r="C592" s="178">
        <f t="shared" si="23"/>
        <v>0.33809037000106096</v>
      </c>
      <c r="D592" s="178">
        <f t="shared" si="24"/>
        <v>1.3975186874384145</v>
      </c>
      <c r="E592" s="178">
        <f t="shared" si="25"/>
        <v>0.47660824873407392</v>
      </c>
      <c r="F592" s="178">
        <f t="shared" si="26"/>
        <v>-1.9708304376574932</v>
      </c>
      <c r="H592" s="178">
        <f t="shared" si="27"/>
        <v>0.32935344812471606</v>
      </c>
      <c r="I592" s="178">
        <f t="shared" si="28"/>
        <v>1.3614040486427481</v>
      </c>
      <c r="J592" s="178">
        <f t="shared" si="29"/>
        <v>1.0741457713046867</v>
      </c>
      <c r="K592" s="178">
        <f t="shared" si="30"/>
        <v>-0.36750538826027868</v>
      </c>
      <c r="M592" s="178">
        <f t="shared" si="31"/>
        <v>0.25398695113253456</v>
      </c>
      <c r="N592" s="178">
        <f t="shared" si="32"/>
        <v>1.0498716972391451</v>
      </c>
      <c r="O592" s="178">
        <f t="shared" si="33"/>
        <v>-0.62932325078044737</v>
      </c>
      <c r="P592" s="178">
        <f t="shared" si="34"/>
        <v>-1.3573211349967291</v>
      </c>
    </row>
    <row r="593" spans="1:16">
      <c r="A593" s="178">
        <f t="shared" si="35"/>
        <v>-72</v>
      </c>
      <c r="B593" s="178">
        <f t="shared" si="22"/>
        <v>-3.0776835371752527</v>
      </c>
      <c r="C593" s="178">
        <f t="shared" si="23"/>
        <v>0.48212319572879569</v>
      </c>
      <c r="D593" s="178">
        <f t="shared" si="24"/>
        <v>1.5601834349078187</v>
      </c>
      <c r="E593" s="178">
        <f t="shared" si="25"/>
        <v>0.62064107446180861</v>
      </c>
      <c r="F593" s="178">
        <f t="shared" si="26"/>
        <v>-2.0986466502299961</v>
      </c>
      <c r="H593" s="178">
        <f t="shared" si="27"/>
        <v>0.46672408287017114</v>
      </c>
      <c r="I593" s="178">
        <f t="shared" si="28"/>
        <v>1.5103508589041186</v>
      </c>
      <c r="J593" s="178">
        <f t="shared" si="29"/>
        <v>1.2115164060501415</v>
      </c>
      <c r="K593" s="178">
        <f t="shared" si="30"/>
        <v>-0.48296988438012523</v>
      </c>
      <c r="M593" s="178">
        <f t="shared" si="31"/>
        <v>0.33853048557310211</v>
      </c>
      <c r="N593" s="178">
        <f t="shared" si="32"/>
        <v>1.0955076637705701</v>
      </c>
      <c r="O593" s="178">
        <f t="shared" si="33"/>
        <v>-0.54477971633987998</v>
      </c>
      <c r="P593" s="178">
        <f t="shared" si="34"/>
        <v>-1.3805248163077404</v>
      </c>
    </row>
    <row r="594" spans="1:16">
      <c r="A594" s="178">
        <f t="shared" si="35"/>
        <v>-68</v>
      </c>
      <c r="B594" s="178">
        <f t="shared" si="22"/>
        <v>-2.4750868534162964</v>
      </c>
      <c r="C594" s="178">
        <f t="shared" si="23"/>
        <v>0.65158520673431952</v>
      </c>
      <c r="D594" s="178">
        <f t="shared" si="24"/>
        <v>1.7393853129832351</v>
      </c>
      <c r="E594" s="178">
        <f t="shared" si="25"/>
        <v>0.79010308546733243</v>
      </c>
      <c r="F594" s="178">
        <f t="shared" si="26"/>
        <v>-2.2275540069138136</v>
      </c>
      <c r="H594" s="178">
        <f t="shared" si="27"/>
        <v>0.63506697185577687</v>
      </c>
      <c r="I594" s="178">
        <f t="shared" si="28"/>
        <v>1.695290427391611</v>
      </c>
      <c r="J594" s="178">
        <f t="shared" si="29"/>
        <v>1.3798592950357476</v>
      </c>
      <c r="K594" s="178">
        <f t="shared" si="30"/>
        <v>-0.61838677120651153</v>
      </c>
      <c r="M594" s="178">
        <f t="shared" si="31"/>
        <v>0.43021802742292381</v>
      </c>
      <c r="N594" s="178">
        <f t="shared" si="32"/>
        <v>1.1484528969442578</v>
      </c>
      <c r="O594" s="178">
        <f t="shared" si="33"/>
        <v>-0.45309217449005823</v>
      </c>
      <c r="P594" s="178">
        <f t="shared" si="34"/>
        <v>-1.4034620978046302</v>
      </c>
    </row>
    <row r="595" spans="1:16">
      <c r="A595" s="178">
        <f t="shared" si="35"/>
        <v>-64</v>
      </c>
      <c r="B595" s="178">
        <f t="shared" si="22"/>
        <v>-2.050303841579296</v>
      </c>
      <c r="C595" s="178">
        <f t="shared" si="23"/>
        <v>0.83943918987417432</v>
      </c>
      <c r="D595" s="178">
        <f t="shared" si="24"/>
        <v>1.9149052030973903</v>
      </c>
      <c r="E595" s="178">
        <f t="shared" si="25"/>
        <v>0.97795706860718723</v>
      </c>
      <c r="F595" s="178">
        <f t="shared" si="26"/>
        <v>-2.3359294236163914</v>
      </c>
      <c r="H595" s="178">
        <f t="shared" si="27"/>
        <v>0.84361411615860527</v>
      </c>
      <c r="I595" s="178">
        <f t="shared" si="28"/>
        <v>1.9244289281760387</v>
      </c>
      <c r="J595" s="178">
        <f t="shared" si="29"/>
        <v>1.5884064393385757</v>
      </c>
      <c r="K595" s="178">
        <f t="shared" si="30"/>
        <v>-0.77620612129789224</v>
      </c>
      <c r="M595" s="178">
        <f t="shared" si="31"/>
        <v>0.53022306273997222</v>
      </c>
      <c r="N595" s="178">
        <f t="shared" si="32"/>
        <v>1.2095300218175384</v>
      </c>
      <c r="O595" s="178">
        <f t="shared" si="33"/>
        <v>-0.35308713917300982</v>
      </c>
      <c r="P595" s="178">
        <f t="shared" si="34"/>
        <v>-1.425753496457165</v>
      </c>
    </row>
    <row r="596" spans="1:16">
      <c r="A596" s="178">
        <f t="shared" si="35"/>
        <v>-60</v>
      </c>
      <c r="B596" s="178">
        <f t="shared" si="22"/>
        <v>-1.7320508075688767</v>
      </c>
      <c r="C596" s="178">
        <f t="shared" si="23"/>
        <v>1.0238327581031981</v>
      </c>
      <c r="D596" s="178">
        <f t="shared" si="24"/>
        <v>2.0476655162063957</v>
      </c>
      <c r="E596" s="178">
        <f t="shared" si="25"/>
        <v>1.1623506368362111</v>
      </c>
      <c r="F596" s="178">
        <f t="shared" si="26"/>
        <v>-2.3881543833332746</v>
      </c>
      <c r="H596" s="178">
        <f t="shared" si="27"/>
        <v>1.1013296072315482</v>
      </c>
      <c r="I596" s="178">
        <f t="shared" si="28"/>
        <v>2.2026592144630959</v>
      </c>
      <c r="J596" s="178">
        <f t="shared" si="29"/>
        <v>1.8461219304115186</v>
      </c>
      <c r="K596" s="178">
        <f t="shared" si="30"/>
        <v>-0.95409969373229819</v>
      </c>
      <c r="M596" s="178">
        <f t="shared" si="31"/>
        <v>0.63977699006861988</v>
      </c>
      <c r="N596" s="178">
        <f t="shared" si="32"/>
        <v>1.2795539801372395</v>
      </c>
      <c r="O596" s="178">
        <f t="shared" si="33"/>
        <v>-0.24353321184436216</v>
      </c>
      <c r="P596" s="178">
        <f t="shared" si="34"/>
        <v>-1.446761366339798</v>
      </c>
    </row>
    <row r="597" spans="1:16">
      <c r="A597" s="178">
        <f t="shared" si="35"/>
        <v>-56</v>
      </c>
      <c r="B597" s="178">
        <f t="shared" si="22"/>
        <v>-1.4825609685127403</v>
      </c>
      <c r="C597" s="178">
        <f t="shared" si="23"/>
        <v>1.1697027988517568</v>
      </c>
      <c r="D597" s="178">
        <f t="shared" si="24"/>
        <v>2.0917697481347735</v>
      </c>
      <c r="E597" s="178">
        <f t="shared" si="25"/>
        <v>1.3082206775847698</v>
      </c>
      <c r="F597" s="178">
        <f t="shared" si="26"/>
        <v>-2.3489797421828831</v>
      </c>
      <c r="H597" s="178">
        <f t="shared" si="27"/>
        <v>1.4091757878772035</v>
      </c>
      <c r="I597" s="178">
        <f t="shared" si="28"/>
        <v>2.5200172948026731</v>
      </c>
      <c r="J597" s="178">
        <f t="shared" si="29"/>
        <v>2.153968111057174</v>
      </c>
      <c r="K597" s="178">
        <f t="shared" si="30"/>
        <v>-1.1357298790073127</v>
      </c>
      <c r="M597" s="178">
        <f t="shared" si="31"/>
        <v>0.76005294127877598</v>
      </c>
      <c r="N597" s="178">
        <f t="shared" si="32"/>
        <v>1.3591963284250386</v>
      </c>
      <c r="O597" s="178">
        <f t="shared" si="33"/>
        <v>-0.12325726063420595</v>
      </c>
      <c r="P597" s="178">
        <f t="shared" si="34"/>
        <v>-1.465459938770679</v>
      </c>
    </row>
    <row r="598" spans="1:16">
      <c r="A598" s="178">
        <f t="shared" si="35"/>
        <v>-52</v>
      </c>
      <c r="B598" s="178">
        <f t="shared" si="22"/>
        <v>-1.2799416321930788</v>
      </c>
      <c r="C598" s="178">
        <f t="shared" ref="C598:C629" si="36">$B$562/(SQRT(1/(1-$C$169^2)*(1/$E$169+B598^2/$F$170-2*$C$169*B598/SQRT($E$169*$F$170))))</f>
        <v>1.2487963981066366</v>
      </c>
      <c r="D598" s="178">
        <f t="shared" si="24"/>
        <v>2.0283815833142351</v>
      </c>
      <c r="E598" s="178">
        <f t="shared" si="25"/>
        <v>1.3873142768396496</v>
      </c>
      <c r="F598" s="178">
        <f t="shared" si="26"/>
        <v>-2.2132105279146059</v>
      </c>
      <c r="H598" s="178">
        <f t="shared" ref="H598:H629" si="37">$B$562/(SQRT(1/(1-$C$172^2)*(1/$E$172+B598^2/$F$173-2*$C$172*B598/SQRT($E$172*$F$173))))</f>
        <v>1.7411257546495134</v>
      </c>
      <c r="I598" s="178">
        <f t="shared" si="28"/>
        <v>2.8280570157951384</v>
      </c>
      <c r="J598" s="178">
        <f t="shared" si="29"/>
        <v>2.485918077829484</v>
      </c>
      <c r="K598" s="178">
        <f t="shared" si="30"/>
        <v>-1.2750801983868856</v>
      </c>
      <c r="M598" s="178">
        <f t="shared" ref="M598:M629" si="38">$B$562/(SQRT(1/(1-$C$175^2)*(1/$E$175+B598^2/$F$176-2*$C$175*B598/SQRT($E$175*$F$176))))</f>
        <v>0.89192937033779052</v>
      </c>
      <c r="N598" s="178">
        <f t="shared" si="32"/>
        <v>1.4487334453824621</v>
      </c>
      <c r="O598" s="178">
        <f t="shared" si="33"/>
        <v>8.6191684248085876E-3</v>
      </c>
      <c r="P598" s="178">
        <f t="shared" si="34"/>
        <v>-1.4802526480985565</v>
      </c>
    </row>
    <row r="599" spans="1:16">
      <c r="A599" s="178">
        <f t="shared" si="35"/>
        <v>-48</v>
      </c>
      <c r="B599" s="178">
        <f t="shared" si="22"/>
        <v>-1.1106125148291928</v>
      </c>
      <c r="C599" s="178">
        <f t="shared" si="36"/>
        <v>1.2606343226574213</v>
      </c>
      <c r="D599" s="178">
        <f t="shared" si="24"/>
        <v>1.8839884331659709</v>
      </c>
      <c r="E599" s="178">
        <f t="shared" si="25"/>
        <v>1.3991522013904343</v>
      </c>
      <c r="F599" s="178">
        <f t="shared" si="26"/>
        <v>-2.0149002832117144</v>
      </c>
      <c r="H599" s="178">
        <f t="shared" si="37"/>
        <v>2.0226804098670605</v>
      </c>
      <c r="I599" s="178">
        <f t="shared" si="28"/>
        <v>3.022848440416857</v>
      </c>
      <c r="J599" s="178">
        <f t="shared" si="29"/>
        <v>2.7674727330470312</v>
      </c>
      <c r="K599" s="178">
        <f t="shared" si="30"/>
        <v>-1.2929550348255794</v>
      </c>
      <c r="M599" s="178">
        <f t="shared" si="38"/>
        <v>1.0355565821812811</v>
      </c>
      <c r="N599" s="178">
        <f t="shared" si="32"/>
        <v>1.5476150281278671</v>
      </c>
      <c r="O599" s="178">
        <f t="shared" si="33"/>
        <v>0.15224638026829906</v>
      </c>
      <c r="P599" s="178">
        <f t="shared" si="34"/>
        <v>-1.4887372140117359</v>
      </c>
    </row>
    <row r="600" spans="1:16">
      <c r="A600" s="178">
        <f t="shared" si="35"/>
        <v>-44</v>
      </c>
      <c r="B600" s="178">
        <f t="shared" si="22"/>
        <v>-0.96568877480707394</v>
      </c>
      <c r="C600" s="178">
        <f t="shared" si="36"/>
        <v>1.2267420777069358</v>
      </c>
      <c r="D600" s="178">
        <f t="shared" si="24"/>
        <v>1.7053721719963355</v>
      </c>
      <c r="E600" s="178">
        <f t="shared" si="25"/>
        <v>1.365259956439949</v>
      </c>
      <c r="F600" s="178">
        <f t="shared" si="26"/>
        <v>-1.7994750818702547</v>
      </c>
      <c r="H600" s="178">
        <f t="shared" si="37"/>
        <v>2.1592262770998678</v>
      </c>
      <c r="I600" s="178">
        <f t="shared" si="28"/>
        <v>3.0016777551907263</v>
      </c>
      <c r="J600" s="178">
        <f t="shared" si="29"/>
        <v>2.9040186002798385</v>
      </c>
      <c r="K600" s="178">
        <f t="shared" si="30"/>
        <v>-1.1316814361911924</v>
      </c>
      <c r="M600" s="178">
        <f t="shared" si="38"/>
        <v>1.1896394731689606</v>
      </c>
      <c r="N600" s="178">
        <f t="shared" si="32"/>
        <v>1.653793482035752</v>
      </c>
      <c r="O600" s="178">
        <f t="shared" si="33"/>
        <v>0.30632927125597853</v>
      </c>
      <c r="P600" s="178">
        <f t="shared" si="34"/>
        <v>-1.4874565993341262</v>
      </c>
    </row>
    <row r="601" spans="1:16">
      <c r="A601" s="178">
        <f t="shared" si="35"/>
        <v>-40</v>
      </c>
      <c r="B601" s="178">
        <f t="shared" si="22"/>
        <v>-0.83909963117727993</v>
      </c>
      <c r="C601" s="178">
        <f t="shared" si="36"/>
        <v>1.1707058850223737</v>
      </c>
      <c r="D601" s="178">
        <f t="shared" si="24"/>
        <v>1.5282479959724031</v>
      </c>
      <c r="E601" s="178">
        <f t="shared" si="25"/>
        <v>1.3092237637553867</v>
      </c>
      <c r="F601" s="178">
        <f t="shared" si="26"/>
        <v>-1.5971629041845046</v>
      </c>
      <c r="H601" s="178">
        <f t="shared" si="37"/>
        <v>2.1274904310105414</v>
      </c>
      <c r="I601" s="178">
        <f t="shared" si="28"/>
        <v>2.777241516625832</v>
      </c>
      <c r="J601" s="178">
        <f t="shared" si="29"/>
        <v>2.872282754190512</v>
      </c>
      <c r="K601" s="178">
        <f t="shared" si="30"/>
        <v>-0.83171729412151885</v>
      </c>
      <c r="M601" s="178">
        <f t="shared" si="38"/>
        <v>1.3504073325509367</v>
      </c>
      <c r="N601" s="178">
        <f t="shared" si="32"/>
        <v>1.7628315754797512</v>
      </c>
      <c r="O601" s="178">
        <f t="shared" si="33"/>
        <v>0.46709713063795466</v>
      </c>
      <c r="P601" s="178">
        <f t="shared" si="34"/>
        <v>-1.471761408710045</v>
      </c>
    </row>
    <row r="602" spans="1:16">
      <c r="A602" s="178">
        <f t="shared" si="35"/>
        <v>-36</v>
      </c>
      <c r="B602" s="178">
        <f t="shared" si="22"/>
        <v>-0.7265425280053609</v>
      </c>
      <c r="C602" s="178">
        <f t="shared" si="36"/>
        <v>1.1080745612133189</v>
      </c>
      <c r="D602" s="178">
        <f t="shared" si="24"/>
        <v>1.3696554817979141</v>
      </c>
      <c r="E602" s="178">
        <f t="shared" si="25"/>
        <v>1.246592439946332</v>
      </c>
      <c r="F602" s="178">
        <f t="shared" si="26"/>
        <v>-1.4198873207675153</v>
      </c>
      <c r="H602" s="178">
        <f t="shared" si="37"/>
        <v>1.9912767999694876</v>
      </c>
      <c r="I602" s="178">
        <f t="shared" si="28"/>
        <v>2.461353486780538</v>
      </c>
      <c r="J602" s="178">
        <f t="shared" si="29"/>
        <v>2.7360691231494583</v>
      </c>
      <c r="K602" s="178">
        <f t="shared" si="30"/>
        <v>-0.49328813833563834</v>
      </c>
      <c r="M602" s="178">
        <f t="shared" si="38"/>
        <v>1.5104696158126616</v>
      </c>
      <c r="N602" s="178">
        <f t="shared" si="32"/>
        <v>1.8670431230924411</v>
      </c>
      <c r="O602" s="178">
        <f t="shared" si="33"/>
        <v>0.62715941389967977</v>
      </c>
      <c r="P602" s="178">
        <f t="shared" si="34"/>
        <v>-1.4360555271752773</v>
      </c>
    </row>
    <row r="603" spans="1:16">
      <c r="A603" s="178">
        <f t="shared" si="35"/>
        <v>-32</v>
      </c>
      <c r="B603" s="178">
        <f t="shared" si="22"/>
        <v>-0.62486935190932746</v>
      </c>
      <c r="C603" s="178">
        <f t="shared" si="36"/>
        <v>1.0466630778490424</v>
      </c>
      <c r="D603" s="178">
        <f t="shared" si="24"/>
        <v>1.2342024969960916</v>
      </c>
      <c r="E603" s="178">
        <f t="shared" si="25"/>
        <v>1.1851809565820555</v>
      </c>
      <c r="F603" s="178">
        <f t="shared" si="26"/>
        <v>-1.2688517069681127</v>
      </c>
      <c r="H603" s="178">
        <f t="shared" si="37"/>
        <v>1.8224361712521497</v>
      </c>
      <c r="I603" s="178">
        <f t="shared" si="28"/>
        <v>2.1489773746464422</v>
      </c>
      <c r="J603" s="178">
        <f t="shared" si="29"/>
        <v>2.5672284944321202</v>
      </c>
      <c r="K603" s="178">
        <f t="shared" si="30"/>
        <v>-0.18532536735382832</v>
      </c>
      <c r="M603" s="178">
        <f t="shared" si="38"/>
        <v>1.6582386142310153</v>
      </c>
      <c r="N603" s="178">
        <f t="shared" si="32"/>
        <v>1.955359161522304</v>
      </c>
      <c r="O603" s="178">
        <f t="shared" si="33"/>
        <v>0.77492841231803322</v>
      </c>
      <c r="P603" s="178">
        <f t="shared" si="34"/>
        <v>-1.3748176022130156</v>
      </c>
    </row>
    <row r="604" spans="1:16">
      <c r="A604" s="178">
        <f t="shared" si="35"/>
        <v>-28</v>
      </c>
      <c r="B604" s="178">
        <f t="shared" si="22"/>
        <v>-0.53170943166147877</v>
      </c>
      <c r="C604" s="178">
        <f t="shared" si="36"/>
        <v>0.98961469430328286</v>
      </c>
      <c r="D604" s="178">
        <f t="shared" si="24"/>
        <v>1.1208079644896871</v>
      </c>
      <c r="E604" s="178">
        <f t="shared" si="25"/>
        <v>1.1281325730362959</v>
      </c>
      <c r="F604" s="178">
        <f t="shared" si="26"/>
        <v>-1.1410114945170062</v>
      </c>
      <c r="H604" s="178">
        <f t="shared" si="37"/>
        <v>1.6595298740218165</v>
      </c>
      <c r="I604" s="178">
        <f t="shared" si="28"/>
        <v>1.8795338335408636</v>
      </c>
      <c r="J604" s="178">
        <f t="shared" si="29"/>
        <v>2.4043221972017874</v>
      </c>
      <c r="K604" s="178">
        <f t="shared" si="30"/>
        <v>7.1071455731233191E-2</v>
      </c>
      <c r="M604" s="178">
        <f t="shared" si="38"/>
        <v>1.7791061414728209</v>
      </c>
      <c r="N604" s="178">
        <f t="shared" si="32"/>
        <v>2.0149623328290538</v>
      </c>
      <c r="O604" s="178">
        <f t="shared" si="33"/>
        <v>0.89579593955983905</v>
      </c>
      <c r="P604" s="178">
        <f t="shared" si="34"/>
        <v>-1.2846026293754198</v>
      </c>
    </row>
    <row r="605" spans="1:16">
      <c r="A605" s="178">
        <f t="shared" si="35"/>
        <v>-24</v>
      </c>
      <c r="B605" s="178">
        <f t="shared" si="22"/>
        <v>-0.4452286853085361</v>
      </c>
      <c r="C605" s="178">
        <f t="shared" si="36"/>
        <v>0.93776447251282535</v>
      </c>
      <c r="D605" s="178">
        <f t="shared" si="24"/>
        <v>1.026511012306625</v>
      </c>
      <c r="E605" s="178">
        <f t="shared" si="25"/>
        <v>1.0762823512458382</v>
      </c>
      <c r="F605" s="178">
        <f t="shared" si="26"/>
        <v>-1.0323436710710978</v>
      </c>
      <c r="H605" s="178">
        <f t="shared" si="37"/>
        <v>1.5154926026906355</v>
      </c>
      <c r="I605" s="178">
        <f t="shared" si="28"/>
        <v>1.6589131827127199</v>
      </c>
      <c r="J605" s="178">
        <f t="shared" si="29"/>
        <v>2.2602849258706059</v>
      </c>
      <c r="K605" s="178">
        <f t="shared" si="30"/>
        <v>0.27871836278185547</v>
      </c>
      <c r="M605" s="178">
        <f t="shared" si="38"/>
        <v>1.8592059844554427</v>
      </c>
      <c r="N605" s="178">
        <f t="shared" si="32"/>
        <v>2.0351543198004767</v>
      </c>
      <c r="O605" s="178">
        <f t="shared" si="33"/>
        <v>0.97589578254246045</v>
      </c>
      <c r="P605" s="178">
        <f t="shared" si="34"/>
        <v>-1.1664069502043191</v>
      </c>
    </row>
    <row r="606" spans="1:16">
      <c r="A606" s="178">
        <f t="shared" si="35"/>
        <v>-20</v>
      </c>
      <c r="B606" s="178">
        <f t="shared" si="22"/>
        <v>-0.36397023426620234</v>
      </c>
      <c r="C606" s="178">
        <f t="shared" si="36"/>
        <v>0.89094632540654028</v>
      </c>
      <c r="D606" s="178">
        <f t="shared" si="24"/>
        <v>0.94812527596673113</v>
      </c>
      <c r="E606" s="178">
        <f t="shared" si="25"/>
        <v>1.0294642041395532</v>
      </c>
      <c r="F606" s="178">
        <f t="shared" si="26"/>
        <v>-0.9391019706219903</v>
      </c>
      <c r="H606" s="178">
        <f t="shared" si="37"/>
        <v>1.3917573111334751</v>
      </c>
      <c r="I606" s="178">
        <f t="shared" si="28"/>
        <v>1.4810771951890864</v>
      </c>
      <c r="J606" s="178">
        <f t="shared" si="29"/>
        <v>2.1365496343134458</v>
      </c>
      <c r="K606" s="178">
        <f t="shared" si="30"/>
        <v>0.44690090729766796</v>
      </c>
      <c r="M606" s="178">
        <f t="shared" si="38"/>
        <v>1.8905708364203517</v>
      </c>
      <c r="N606" s="178">
        <f t="shared" si="32"/>
        <v>2.011903461409732</v>
      </c>
      <c r="O606" s="178">
        <f t="shared" si="33"/>
        <v>1.0072606345073698</v>
      </c>
      <c r="P606" s="178">
        <f t="shared" si="34"/>
        <v>-1.0267466242562251</v>
      </c>
    </row>
    <row r="607" spans="1:16">
      <c r="A607" s="178">
        <f t="shared" si="35"/>
        <v>-16</v>
      </c>
      <c r="B607" s="178">
        <f t="shared" si="22"/>
        <v>-0.28674538575880792</v>
      </c>
      <c r="C607" s="178">
        <f t="shared" si="36"/>
        <v>0.84862307604549114</v>
      </c>
      <c r="D607" s="178">
        <f t="shared" si="24"/>
        <v>0.8828221072692618</v>
      </c>
      <c r="E607" s="178">
        <f t="shared" si="25"/>
        <v>0.98714095477850394</v>
      </c>
      <c r="F607" s="178">
        <f t="shared" si="26"/>
        <v>-0.85816277914965022</v>
      </c>
      <c r="H607" s="178">
        <f t="shared" si="37"/>
        <v>1.28594649785795</v>
      </c>
      <c r="I607" s="178">
        <f t="shared" si="28"/>
        <v>1.3377694162698281</v>
      </c>
      <c r="J607" s="178">
        <f t="shared" si="29"/>
        <v>2.0307388210379207</v>
      </c>
      <c r="K607" s="178">
        <f t="shared" si="30"/>
        <v>0.58471991727915285</v>
      </c>
      <c r="M607" s="178">
        <f t="shared" si="38"/>
        <v>1.8743004469597979</v>
      </c>
      <c r="N607" s="178">
        <f t="shared" si="32"/>
        <v>1.9498336976074262</v>
      </c>
      <c r="O607" s="178">
        <f t="shared" si="33"/>
        <v>0.99099024504681565</v>
      </c>
      <c r="P607" s="178">
        <f t="shared" si="34"/>
        <v>-0.876082118718853</v>
      </c>
    </row>
    <row r="608" spans="1:16">
      <c r="A608" s="178">
        <f t="shared" si="35"/>
        <v>-12</v>
      </c>
      <c r="B608" s="178">
        <f t="shared" si="22"/>
        <v>-0.2125565616700221</v>
      </c>
      <c r="C608" s="178">
        <f t="shared" si="36"/>
        <v>0.81016653702214647</v>
      </c>
      <c r="D608" s="178">
        <f t="shared" si="24"/>
        <v>0.82826613939896199</v>
      </c>
      <c r="E608" s="178">
        <f t="shared" si="25"/>
        <v>0.94868441575515938</v>
      </c>
      <c r="F608" s="178">
        <f t="shared" si="26"/>
        <v>-0.78703024133469579</v>
      </c>
      <c r="H608" s="178">
        <f t="shared" si="37"/>
        <v>1.1949299104027304</v>
      </c>
      <c r="I608" s="178">
        <f t="shared" si="28"/>
        <v>1.2216253554231435</v>
      </c>
      <c r="J608" s="178">
        <f t="shared" si="29"/>
        <v>1.9397222335827009</v>
      </c>
      <c r="K608" s="178">
        <f t="shared" si="30"/>
        <v>0.69946894868074683</v>
      </c>
      <c r="M608" s="178">
        <f t="shared" si="38"/>
        <v>1.8193111337203007</v>
      </c>
      <c r="N608" s="178">
        <f t="shared" si="32"/>
        <v>1.8599556266921831</v>
      </c>
      <c r="O608" s="178">
        <f t="shared" si="33"/>
        <v>0.93600093180731869</v>
      </c>
      <c r="P608" s="178">
        <f t="shared" si="34"/>
        <v>-0.72534163321903655</v>
      </c>
    </row>
    <row r="609" spans="1:16">
      <c r="A609" s="178">
        <f t="shared" si="35"/>
        <v>-8</v>
      </c>
      <c r="B609" s="178">
        <f t="shared" si="22"/>
        <v>-0.14054083470239145</v>
      </c>
      <c r="C609" s="178">
        <f t="shared" si="36"/>
        <v>0.77497198170249459</v>
      </c>
      <c r="D609" s="178">
        <f t="shared" si="24"/>
        <v>0.782588075052573</v>
      </c>
      <c r="E609" s="178">
        <f t="shared" si="25"/>
        <v>0.91348986043550751</v>
      </c>
      <c r="F609" s="178">
        <f t="shared" si="26"/>
        <v>-0.72373923702459464</v>
      </c>
      <c r="H609" s="178">
        <f t="shared" si="37"/>
        <v>1.1158292946969839</v>
      </c>
      <c r="I609" s="178">
        <f t="shared" si="28"/>
        <v>1.126795188009017</v>
      </c>
      <c r="J609" s="178">
        <f t="shared" si="29"/>
        <v>1.8606216178769546</v>
      </c>
      <c r="K609" s="178">
        <f t="shared" si="30"/>
        <v>0.79663956141052383</v>
      </c>
      <c r="M609" s="178">
        <f t="shared" si="38"/>
        <v>1.73798605837528</v>
      </c>
      <c r="N609" s="178">
        <f t="shared" si="32"/>
        <v>1.7550662424003103</v>
      </c>
      <c r="O609" s="178">
        <f t="shared" si="33"/>
        <v>0.85467585646229793</v>
      </c>
      <c r="P609" s="178">
        <f t="shared" si="34"/>
        <v>-0.58289312537264071</v>
      </c>
    </row>
    <row r="610" spans="1:16">
      <c r="A610" s="178">
        <f t="shared" si="35"/>
        <v>-4</v>
      </c>
      <c r="B610" s="178">
        <f t="shared" si="22"/>
        <v>-6.9926811943510414E-2</v>
      </c>
      <c r="C610" s="178">
        <f t="shared" si="36"/>
        <v>0.74249798301033243</v>
      </c>
      <c r="D610" s="178">
        <f t="shared" si="24"/>
        <v>0.74431108741031948</v>
      </c>
      <c r="E610" s="178">
        <f t="shared" si="25"/>
        <v>0.88101586174334523</v>
      </c>
      <c r="F610" s="178">
        <f t="shared" si="26"/>
        <v>-0.66674454467155897</v>
      </c>
      <c r="H610" s="178">
        <f t="shared" si="37"/>
        <v>1.0462578625243304</v>
      </c>
      <c r="I610" s="178">
        <f t="shared" si="28"/>
        <v>1.0488127175912396</v>
      </c>
      <c r="J610" s="178">
        <f t="shared" si="29"/>
        <v>1.7910501857043006</v>
      </c>
      <c r="K610" s="178">
        <f t="shared" si="30"/>
        <v>0.8802976650754607</v>
      </c>
      <c r="M610" s="178">
        <f t="shared" si="38"/>
        <v>1.6420100197459384</v>
      </c>
      <c r="N610" s="178">
        <f t="shared" si="32"/>
        <v>1.6460196408624213</v>
      </c>
      <c r="O610" s="178">
        <f t="shared" si="33"/>
        <v>0.75869981783295615</v>
      </c>
      <c r="P610" s="178">
        <f t="shared" si="34"/>
        <v>-0.45345563988759374</v>
      </c>
    </row>
    <row r="611" spans="1:16">
      <c r="A611" s="178">
        <f t="shared" si="35"/>
        <v>0</v>
      </c>
      <c r="B611" s="178">
        <f t="shared" si="22"/>
        <v>0</v>
      </c>
      <c r="C611" s="178">
        <f t="shared" si="36"/>
        <v>0.71227410840803607</v>
      </c>
      <c r="D611" s="178">
        <f t="shared" si="24"/>
        <v>0.71227410840803607</v>
      </c>
      <c r="E611" s="178">
        <f t="shared" si="25"/>
        <v>0.85079198714104898</v>
      </c>
      <c r="F611" s="178">
        <f t="shared" si="26"/>
        <v>-0.61482402784515966</v>
      </c>
      <c r="H611" s="178">
        <f t="shared" si="37"/>
        <v>0.9843070576628713</v>
      </c>
      <c r="I611" s="178">
        <f t="shared" si="28"/>
        <v>0.9843070576628713</v>
      </c>
      <c r="J611" s="178">
        <f t="shared" si="29"/>
        <v>1.7290993808428419</v>
      </c>
      <c r="K611" s="178">
        <f t="shared" si="30"/>
        <v>0.95345914187261871</v>
      </c>
      <c r="M611" s="178">
        <f t="shared" si="38"/>
        <v>1.5402504380225395</v>
      </c>
      <c r="N611" s="178">
        <f t="shared" si="32"/>
        <v>1.5402504380225395</v>
      </c>
      <c r="O611" s="178">
        <f t="shared" si="33"/>
        <v>0.65694023610955743</v>
      </c>
      <c r="P611" s="178">
        <f t="shared" si="34"/>
        <v>-0.33863511402745966</v>
      </c>
    </row>
    <row r="612" spans="1:16">
      <c r="A612" s="178">
        <f t="shared" si="35"/>
        <v>4</v>
      </c>
      <c r="B612" s="178">
        <f t="shared" si="22"/>
        <v>6.9926811943510414E-2</v>
      </c>
      <c r="C612" s="178">
        <f t="shared" si="36"/>
        <v>0.68389574885052207</v>
      </c>
      <c r="D612" s="178">
        <f t="shared" si="24"/>
        <v>0.68556575256736185</v>
      </c>
      <c r="E612" s="178">
        <f t="shared" si="25"/>
        <v>0.82241362758353487</v>
      </c>
      <c r="F612" s="178">
        <f t="shared" si="26"/>
        <v>-0.56700137842632303</v>
      </c>
      <c r="H612" s="178">
        <f t="shared" si="37"/>
        <v>0.92846624145156609</v>
      </c>
      <c r="I612" s="178">
        <f t="shared" si="28"/>
        <v>0.93073346138499968</v>
      </c>
      <c r="J612" s="178">
        <f t="shared" si="29"/>
        <v>1.6732585646315365</v>
      </c>
      <c r="K612" s="178">
        <f t="shared" si="30"/>
        <v>1.0183838261345004</v>
      </c>
      <c r="M612" s="178">
        <f t="shared" si="38"/>
        <v>1.4384802724405761</v>
      </c>
      <c r="N612" s="178">
        <f t="shared" si="32"/>
        <v>1.4419928946576526</v>
      </c>
      <c r="O612" s="178">
        <f t="shared" si="33"/>
        <v>0.55517007052759382</v>
      </c>
      <c r="P612" s="178">
        <f t="shared" si="34"/>
        <v>-0.23804677453205786</v>
      </c>
    </row>
    <row r="613" spans="1:16">
      <c r="A613" s="178">
        <f t="shared" si="35"/>
        <v>8</v>
      </c>
      <c r="B613" s="178">
        <f t="shared" si="22"/>
        <v>0.14054083470239145</v>
      </c>
      <c r="C613" s="178">
        <f t="shared" si="36"/>
        <v>0.65701459968740594</v>
      </c>
      <c r="D613" s="178">
        <f t="shared" si="24"/>
        <v>0.6634714583116248</v>
      </c>
      <c r="E613" s="178">
        <f t="shared" si="25"/>
        <v>0.79553247842041885</v>
      </c>
      <c r="F613" s="178">
        <f t="shared" si="26"/>
        <v>-0.52248664759343399</v>
      </c>
      <c r="H613" s="178">
        <f t="shared" si="37"/>
        <v>0.87753730714098988</v>
      </c>
      <c r="I613" s="178">
        <f t="shared" si="28"/>
        <v>0.88616136866471085</v>
      </c>
      <c r="J613" s="178">
        <f t="shared" si="29"/>
        <v>1.6223296303209604</v>
      </c>
      <c r="K613" s="178">
        <f t="shared" si="30"/>
        <v>1.0767889675007023</v>
      </c>
      <c r="M613" s="178">
        <f t="shared" si="38"/>
        <v>1.3399907542580958</v>
      </c>
      <c r="N613" s="178">
        <f t="shared" si="32"/>
        <v>1.3531596105698449</v>
      </c>
      <c r="O613" s="178">
        <f t="shared" si="33"/>
        <v>0.45668055234511373</v>
      </c>
      <c r="P613" s="178">
        <f t="shared" si="34"/>
        <v>-0.15031169493053981</v>
      </c>
    </row>
    <row r="614" spans="1:16">
      <c r="A614" s="178">
        <f t="shared" si="35"/>
        <v>12</v>
      </c>
      <c r="B614" s="178">
        <f t="shared" si="22"/>
        <v>0.2125565616700221</v>
      </c>
      <c r="C614" s="178">
        <f t="shared" si="36"/>
        <v>0.63132839584146605</v>
      </c>
      <c r="D614" s="178">
        <f t="shared" si="24"/>
        <v>0.64543264775974907</v>
      </c>
      <c r="E614" s="178">
        <f t="shared" si="25"/>
        <v>0.76984627457447896</v>
      </c>
      <c r="F614" s="178">
        <f t="shared" si="26"/>
        <v>-0.48063103474044699</v>
      </c>
      <c r="H614" s="178">
        <f t="shared" si="37"/>
        <v>0.8305618750239836</v>
      </c>
      <c r="I614" s="178">
        <f t="shared" si="28"/>
        <v>0.84911712138423345</v>
      </c>
      <c r="J614" s="178">
        <f t="shared" si="29"/>
        <v>1.5753541982039541</v>
      </c>
      <c r="K614" s="178">
        <f t="shared" si="30"/>
        <v>1.1300005182819233</v>
      </c>
      <c r="M614" s="178">
        <f t="shared" si="38"/>
        <v>1.2463775816041882</v>
      </c>
      <c r="N614" s="178">
        <f t="shared" si="32"/>
        <v>1.2742223982036622</v>
      </c>
      <c r="O614" s="178">
        <f t="shared" si="33"/>
        <v>0.36306737969120617</v>
      </c>
      <c r="P614" s="178">
        <f t="shared" si="34"/>
        <v>-7.3709380739076069E-2</v>
      </c>
    </row>
    <row r="615" spans="1:16">
      <c r="A615" s="178">
        <f t="shared" si="35"/>
        <v>16</v>
      </c>
      <c r="B615" s="178">
        <f t="shared" si="22"/>
        <v>0.28674538575880792</v>
      </c>
      <c r="C615" s="178">
        <f t="shared" si="36"/>
        <v>0.6065712835066539</v>
      </c>
      <c r="D615" s="178">
        <f t="shared" si="24"/>
        <v>0.63101576404181992</v>
      </c>
      <c r="E615" s="178">
        <f t="shared" si="25"/>
        <v>0.74508916223966681</v>
      </c>
      <c r="F615" s="178">
        <f t="shared" si="26"/>
        <v>-0.44089251116582895</v>
      </c>
      <c r="H615" s="178">
        <f t="shared" si="37"/>
        <v>0.78676366378982554</v>
      </c>
      <c r="I615" s="178">
        <f t="shared" si="28"/>
        <v>0.81846979559696265</v>
      </c>
      <c r="J615" s="178">
        <f t="shared" si="29"/>
        <v>1.5315559869697961</v>
      </c>
      <c r="K615" s="178">
        <f t="shared" si="30"/>
        <v>1.1790599921470453</v>
      </c>
      <c r="M615" s="178">
        <f t="shared" si="38"/>
        <v>1.1581903220723189</v>
      </c>
      <c r="N615" s="178">
        <f t="shared" si="32"/>
        <v>1.2048647386722005</v>
      </c>
      <c r="O615" s="178">
        <f t="shared" si="33"/>
        <v>0.27488012015933683</v>
      </c>
      <c r="P615" s="178">
        <f t="shared" si="34"/>
        <v>-6.5293833427146342E-3</v>
      </c>
    </row>
    <row r="616" spans="1:16">
      <c r="A616" s="178">
        <f t="shared" si="35"/>
        <v>20</v>
      </c>
      <c r="B616" s="178">
        <f t="shared" si="22"/>
        <v>0.36397023426620234</v>
      </c>
      <c r="C616" s="178">
        <f t="shared" si="36"/>
        <v>0.58250522554562312</v>
      </c>
      <c r="D616" s="178">
        <f t="shared" si="24"/>
        <v>0.61988911337671992</v>
      </c>
      <c r="E616" s="178">
        <f t="shared" si="25"/>
        <v>0.72102310427863603</v>
      </c>
      <c r="F616" s="178">
        <f t="shared" si="26"/>
        <v>-0.40280946444203219</v>
      </c>
      <c r="H616" s="178">
        <f t="shared" si="37"/>
        <v>0.74550410144140478</v>
      </c>
      <c r="I616" s="178">
        <f t="shared" si="28"/>
        <v>0.79334889404357056</v>
      </c>
      <c r="J616" s="178">
        <f t="shared" si="29"/>
        <v>1.4902964246213752</v>
      </c>
      <c r="K616" s="178">
        <f t="shared" si="30"/>
        <v>1.2248004443206615</v>
      </c>
      <c r="M616" s="178">
        <f t="shared" si="38"/>
        <v>1.0753824848847069</v>
      </c>
      <c r="N616" s="178">
        <f t="shared" si="32"/>
        <v>1.1443981373242185</v>
      </c>
      <c r="O616" s="178">
        <f t="shared" si="33"/>
        <v>0.19207228297172485</v>
      </c>
      <c r="P616" s="178">
        <f t="shared" si="34"/>
        <v>5.2772100921797849E-2</v>
      </c>
    </row>
    <row r="617" spans="1:16">
      <c r="A617" s="178">
        <f t="shared" si="35"/>
        <v>24</v>
      </c>
      <c r="B617" s="178">
        <f t="shared" si="22"/>
        <v>0.4452286853085361</v>
      </c>
      <c r="C617" s="178">
        <f t="shared" si="36"/>
        <v>0.55891241467719721</v>
      </c>
      <c r="D617" s="178">
        <f t="shared" si="24"/>
        <v>0.61180580561307552</v>
      </c>
      <c r="E617" s="178">
        <f t="shared" si="25"/>
        <v>0.69743029341021012</v>
      </c>
      <c r="F617" s="178">
        <f t="shared" si="26"/>
        <v>-0.3659801882558118</v>
      </c>
      <c r="H617" s="178">
        <f t="shared" si="37"/>
        <v>0.70624833715759971</v>
      </c>
      <c r="I617" s="178">
        <f t="shared" si="28"/>
        <v>0.77308505148727857</v>
      </c>
      <c r="J617" s="178">
        <f t="shared" si="29"/>
        <v>1.4510406603375703</v>
      </c>
      <c r="K617" s="178">
        <f t="shared" si="30"/>
        <v>1.2679011605266366</v>
      </c>
      <c r="M617" s="178">
        <f t="shared" si="38"/>
        <v>0.99759495811523169</v>
      </c>
      <c r="N617" s="178">
        <f t="shared" si="32"/>
        <v>1.0920036324076527</v>
      </c>
      <c r="O617" s="178">
        <f t="shared" si="33"/>
        <v>0.11428475620224954</v>
      </c>
      <c r="P617" s="178">
        <f t="shared" si="34"/>
        <v>0.10552277764460904</v>
      </c>
    </row>
    <row r="618" spans="1:16">
      <c r="A618" s="178">
        <f t="shared" si="35"/>
        <v>28</v>
      </c>
      <c r="B618" s="178">
        <f t="shared" si="22"/>
        <v>0.53170943166147877</v>
      </c>
      <c r="C618" s="178">
        <f t="shared" si="36"/>
        <v>0.53558849669998421</v>
      </c>
      <c r="D618" s="178">
        <f t="shared" si="24"/>
        <v>0.60659149085596742</v>
      </c>
      <c r="E618" s="178">
        <f t="shared" si="25"/>
        <v>0.67410637543299712</v>
      </c>
      <c r="F618" s="178">
        <f t="shared" si="26"/>
        <v>-0.33004657266038523</v>
      </c>
      <c r="H618" s="178">
        <f t="shared" si="37"/>
        <v>0.66853905056891283</v>
      </c>
      <c r="I618" s="178">
        <f t="shared" si="28"/>
        <v>0.75716730639043583</v>
      </c>
      <c r="J618" s="178">
        <f t="shared" si="29"/>
        <v>1.4133313737488835</v>
      </c>
      <c r="K618" s="178">
        <f t="shared" si="30"/>
        <v>1.30892766049412</v>
      </c>
      <c r="M618" s="178">
        <f t="shared" si="38"/>
        <v>0.92432358650924062</v>
      </c>
      <c r="N618" s="178">
        <f t="shared" si="32"/>
        <v>1.0468612112258453</v>
      </c>
      <c r="O618" s="178">
        <f t="shared" si="33"/>
        <v>4.1013384596258806E-2</v>
      </c>
      <c r="P618" s="178">
        <f t="shared" si="34"/>
        <v>0.15283645482666847</v>
      </c>
    </row>
    <row r="619" spans="1:16">
      <c r="A619" s="178">
        <f t="shared" si="35"/>
        <v>32</v>
      </c>
      <c r="B619" s="178">
        <f t="shared" si="22"/>
        <v>0.62486935190932746</v>
      </c>
      <c r="C619" s="178">
        <f t="shared" si="36"/>
        <v>0.51233634112175397</v>
      </c>
      <c r="D619" s="178">
        <f t="shared" si="24"/>
        <v>0.60413594870832821</v>
      </c>
      <c r="E619" s="178">
        <f t="shared" si="25"/>
        <v>0.65085421985476688</v>
      </c>
      <c r="F619" s="178">
        <f t="shared" si="26"/>
        <v>-0.29468075040881314</v>
      </c>
      <c r="H619" s="178">
        <f t="shared" si="37"/>
        <v>0.6319759514856006</v>
      </c>
      <c r="I619" s="178">
        <f t="shared" si="28"/>
        <v>0.74521239343603218</v>
      </c>
      <c r="J619" s="178">
        <f t="shared" si="29"/>
        <v>1.3767682746655712</v>
      </c>
      <c r="K619" s="178">
        <f t="shared" si="30"/>
        <v>1.3483615450997064</v>
      </c>
      <c r="M619" s="178">
        <f t="shared" si="38"/>
        <v>0.85501316498649893</v>
      </c>
      <c r="N619" s="178">
        <f t="shared" si="32"/>
        <v>1.0082130587423526</v>
      </c>
      <c r="O619" s="178">
        <f t="shared" si="33"/>
        <v>-2.829703692648311E-2</v>
      </c>
      <c r="P619" s="178">
        <f t="shared" si="34"/>
        <v>0.19563640825159684</v>
      </c>
    </row>
    <row r="620" spans="1:16">
      <c r="A620" s="178">
        <f t="shared" si="35"/>
        <v>36</v>
      </c>
      <c r="B620" s="178">
        <f t="shared" si="22"/>
        <v>0.7265425280053609</v>
      </c>
      <c r="C620" s="178">
        <f t="shared" si="36"/>
        <v>0.48896007089905164</v>
      </c>
      <c r="D620" s="178">
        <f t="shared" si="24"/>
        <v>0.60438788591434456</v>
      </c>
      <c r="E620" s="178">
        <f t="shared" si="25"/>
        <v>0.6274779496320646</v>
      </c>
      <c r="F620" s="178">
        <f t="shared" si="26"/>
        <v>-0.25957374184048215</v>
      </c>
      <c r="H620" s="178">
        <f t="shared" si="37"/>
        <v>0.5961993353995817</v>
      </c>
      <c r="I620" s="178">
        <f t="shared" si="28"/>
        <v>0.7369429066940798</v>
      </c>
      <c r="J620" s="178">
        <f t="shared" si="29"/>
        <v>1.3409916585795525</v>
      </c>
      <c r="K620" s="178">
        <f t="shared" si="30"/>
        <v>1.386623314208947</v>
      </c>
      <c r="M620" s="178">
        <f t="shared" si="38"/>
        <v>0.78910707440415007</v>
      </c>
      <c r="N620" s="178">
        <f t="shared" si="32"/>
        <v>0.97538998548951394</v>
      </c>
      <c r="O620" s="178">
        <f t="shared" si="33"/>
        <v>-9.4203127508831863E-2</v>
      </c>
      <c r="P620" s="178">
        <f t="shared" si="34"/>
        <v>0.23468473467704604</v>
      </c>
    </row>
    <row r="621" spans="1:16">
      <c r="A621" s="178">
        <f t="shared" si="35"/>
        <v>40</v>
      </c>
      <c r="B621" s="178">
        <f t="shared" si="22"/>
        <v>0.83909963117727993</v>
      </c>
      <c r="C621" s="178">
        <f t="shared" si="36"/>
        <v>0.46525904369706322</v>
      </c>
      <c r="D621" s="178">
        <f t="shared" si="24"/>
        <v>0.60735254706991149</v>
      </c>
      <c r="E621" s="178">
        <f t="shared" si="25"/>
        <v>0.60377692243007619</v>
      </c>
      <c r="F621" s="178">
        <f t="shared" si="26"/>
        <v>-0.22442533587705993</v>
      </c>
      <c r="H621" s="178">
        <f t="shared" si="37"/>
        <v>0.56087643213633298</v>
      </c>
      <c r="I621" s="178">
        <f t="shared" si="28"/>
        <v>0.73217218292545017</v>
      </c>
      <c r="J621" s="178">
        <f t="shared" si="29"/>
        <v>1.3056687553163036</v>
      </c>
      <c r="K621" s="178">
        <f t="shared" si="30"/>
        <v>1.4240903492142443</v>
      </c>
      <c r="M621" s="178">
        <f t="shared" si="38"/>
        <v>0.72607108484917982</v>
      </c>
      <c r="N621" s="178">
        <f t="shared" si="32"/>
        <v>0.94781848673551461</v>
      </c>
      <c r="O621" s="178">
        <f t="shared" si="33"/>
        <v>-0.15723911706380234</v>
      </c>
      <c r="P621" s="178">
        <f t="shared" si="34"/>
        <v>0.27061086547797458</v>
      </c>
    </row>
    <row r="622" spans="1:16">
      <c r="A622" s="178">
        <f t="shared" si="35"/>
        <v>44</v>
      </c>
      <c r="B622" s="178">
        <f t="shared" si="22"/>
        <v>0.96568877480707394</v>
      </c>
      <c r="C622" s="178">
        <f t="shared" si="36"/>
        <v>0.44102144663990528</v>
      </c>
      <c r="D622" s="178">
        <f t="shared" si="24"/>
        <v>0.61309195797630134</v>
      </c>
      <c r="E622" s="178">
        <f t="shared" si="25"/>
        <v>0.5795393253729183</v>
      </c>
      <c r="F622" s="178">
        <f t="shared" si="26"/>
        <v>-0.18893456737582615</v>
      </c>
      <c r="H622" s="178">
        <f t="shared" si="37"/>
        <v>0.52568955052350064</v>
      </c>
      <c r="I622" s="178">
        <f t="shared" si="28"/>
        <v>0.73079447331569347</v>
      </c>
      <c r="J622" s="178">
        <f t="shared" si="29"/>
        <v>1.2704818737034713</v>
      </c>
      <c r="K622" s="178">
        <f t="shared" si="30"/>
        <v>1.4611116398465396</v>
      </c>
      <c r="M622" s="178">
        <f t="shared" si="38"/>
        <v>0.6654025176672671</v>
      </c>
      <c r="N622" s="178">
        <f t="shared" si="32"/>
        <v>0.925018353431867</v>
      </c>
      <c r="O622" s="178">
        <f t="shared" si="33"/>
        <v>-0.21790768424571494</v>
      </c>
      <c r="P622" s="178">
        <f t="shared" si="34"/>
        <v>0.30393662801218585</v>
      </c>
    </row>
    <row r="623" spans="1:16">
      <c r="A623" s="178">
        <f t="shared" si="35"/>
        <v>48</v>
      </c>
      <c r="B623" s="178">
        <f t="shared" si="22"/>
        <v>1.1106125148291928</v>
      </c>
      <c r="C623" s="178">
        <f t="shared" si="36"/>
        <v>0.41601711317067669</v>
      </c>
      <c r="D623" s="178">
        <f t="shared" si="24"/>
        <v>0.62172781997594739</v>
      </c>
      <c r="E623" s="178">
        <f t="shared" si="25"/>
        <v>0.55453499190368971</v>
      </c>
      <c r="F623" s="178">
        <f t="shared" si="26"/>
        <v>-0.15279021557469352</v>
      </c>
      <c r="H623" s="178">
        <f t="shared" si="37"/>
        <v>0.49032519303388611</v>
      </c>
      <c r="I623" s="178">
        <f t="shared" si="28"/>
        <v>0.73277950279698034</v>
      </c>
      <c r="J623" s="178">
        <f t="shared" si="29"/>
        <v>1.2351175162138568</v>
      </c>
      <c r="K623" s="178">
        <f t="shared" si="30"/>
        <v>1.4980204375920922</v>
      </c>
      <c r="M623" s="178">
        <f t="shared" si="38"/>
        <v>0.60663132146811904</v>
      </c>
      <c r="N623" s="178">
        <f t="shared" si="32"/>
        <v>0.90659628434748285</v>
      </c>
      <c r="O623" s="178">
        <f t="shared" si="33"/>
        <v>-0.276678880444863</v>
      </c>
      <c r="P623" s="178">
        <f t="shared" si="34"/>
        <v>0.3350972234824045</v>
      </c>
    </row>
    <row r="624" spans="1:16">
      <c r="A624" s="178">
        <f t="shared" si="35"/>
        <v>52</v>
      </c>
      <c r="B624" s="178">
        <f t="shared" si="22"/>
        <v>1.2799416321930788</v>
      </c>
      <c r="C624" s="178">
        <f t="shared" si="36"/>
        <v>0.3899890832704741</v>
      </c>
      <c r="D624" s="178">
        <f t="shared" si="24"/>
        <v>0.63344727403024004</v>
      </c>
      <c r="E624" s="178">
        <f t="shared" si="25"/>
        <v>0.52850696200348712</v>
      </c>
      <c r="F624" s="178">
        <f t="shared" si="26"/>
        <v>-0.11566076406646647</v>
      </c>
      <c r="H624" s="178">
        <f t="shared" si="37"/>
        <v>0.45446340364138499</v>
      </c>
      <c r="I624" s="178">
        <f t="shared" si="28"/>
        <v>0.73817092973211218</v>
      </c>
      <c r="J624" s="178">
        <f t="shared" si="29"/>
        <v>1.1992557268213555</v>
      </c>
      <c r="K624" s="178">
        <f t="shared" si="30"/>
        <v>1.5351457725013951</v>
      </c>
      <c r="M624" s="178">
        <f t="shared" si="38"/>
        <v>0.54931680708198305</v>
      </c>
      <c r="N624" s="178">
        <f t="shared" si="32"/>
        <v>0.89223839577004271</v>
      </c>
      <c r="O624" s="178">
        <f t="shared" si="33"/>
        <v>-0.33399339483099899</v>
      </c>
      <c r="P624" s="178">
        <f t="shared" si="34"/>
        <v>0.36445833662014443</v>
      </c>
    </row>
    <row r="625" spans="1:16">
      <c r="A625" s="178">
        <f t="shared" si="35"/>
        <v>56</v>
      </c>
      <c r="B625" s="178">
        <f t="shared" si="22"/>
        <v>1.4825609685127403</v>
      </c>
      <c r="C625" s="178">
        <f t="shared" si="36"/>
        <v>0.36264329323131839</v>
      </c>
      <c r="D625" s="178">
        <f t="shared" si="24"/>
        <v>0.64851197320369691</v>
      </c>
      <c r="E625" s="178">
        <f t="shared" si="25"/>
        <v>0.50116117196433141</v>
      </c>
      <c r="F625" s="178">
        <f t="shared" si="26"/>
        <v>-7.7183235807486539E-2</v>
      </c>
      <c r="H625" s="178">
        <f t="shared" si="37"/>
        <v>0.41776662638896761</v>
      </c>
      <c r="I625" s="178">
        <f t="shared" si="28"/>
        <v>0.74708856960811265</v>
      </c>
      <c r="J625" s="178">
        <f t="shared" si="29"/>
        <v>1.1625589495689381</v>
      </c>
      <c r="K625" s="178">
        <f t="shared" si="30"/>
        <v>1.5728236361041468</v>
      </c>
      <c r="M625" s="178">
        <f t="shared" si="38"/>
        <v>0.49304212117115581</v>
      </c>
      <c r="N625" s="178">
        <f t="shared" si="32"/>
        <v>0.88170310837456556</v>
      </c>
      <c r="O625" s="178">
        <f t="shared" si="33"/>
        <v>-0.39026808074182623</v>
      </c>
      <c r="P625" s="178">
        <f t="shared" si="34"/>
        <v>0.39232989065362506</v>
      </c>
    </row>
    <row r="626" spans="1:16">
      <c r="A626" s="178">
        <f t="shared" si="35"/>
        <v>60</v>
      </c>
      <c r="B626" s="178">
        <f t="shared" si="22"/>
        <v>1.7320508075688767</v>
      </c>
      <c r="C626" s="178">
        <f t="shared" si="36"/>
        <v>0.3336355796739055</v>
      </c>
      <c r="D626" s="178">
        <f t="shared" si="24"/>
        <v>0.66727115934781089</v>
      </c>
      <c r="E626" s="178">
        <f t="shared" si="25"/>
        <v>0.47215345840691847</v>
      </c>
      <c r="F626" s="178">
        <f t="shared" si="26"/>
        <v>-3.6950252637261261E-2</v>
      </c>
      <c r="H626" s="178">
        <f t="shared" si="37"/>
        <v>0.37986728990735713</v>
      </c>
      <c r="I626" s="178">
        <f t="shared" si="28"/>
        <v>0.75973457981471404</v>
      </c>
      <c r="J626" s="178">
        <f t="shared" si="29"/>
        <v>1.1246596130873276</v>
      </c>
      <c r="K626" s="178">
        <f t="shared" si="30"/>
        <v>1.6114085881256572</v>
      </c>
      <c r="M626" s="178">
        <f t="shared" si="38"/>
        <v>0.43740756305319212</v>
      </c>
      <c r="N626" s="178">
        <f t="shared" si="32"/>
        <v>0.87481512610638401</v>
      </c>
      <c r="O626" s="178">
        <f t="shared" si="33"/>
        <v>-0.44590263885978992</v>
      </c>
      <c r="P626" s="178">
        <f t="shared" si="34"/>
        <v>0.41897700879555616</v>
      </c>
    </row>
    <row r="627" spans="1:16">
      <c r="A627" s="178">
        <f t="shared" si="35"/>
        <v>64</v>
      </c>
      <c r="B627" s="178">
        <f t="shared" si="22"/>
        <v>2.050303841579296</v>
      </c>
      <c r="C627" s="178">
        <f t="shared" si="36"/>
        <v>0.30255488843354311</v>
      </c>
      <c r="D627" s="178">
        <f t="shared" si="24"/>
        <v>0.69017974985273733</v>
      </c>
      <c r="E627" s="178">
        <f t="shared" si="25"/>
        <v>0.44107276716655597</v>
      </c>
      <c r="F627" s="178">
        <f t="shared" si="26"/>
        <v>5.5054221987290708E-3</v>
      </c>
      <c r="H627" s="178">
        <f t="shared" si="37"/>
        <v>0.34035318253590208</v>
      </c>
      <c r="I627" s="178">
        <f t="shared" si="28"/>
        <v>0.77640416124299172</v>
      </c>
      <c r="J627" s="178">
        <f t="shared" si="29"/>
        <v>1.0851455057158725</v>
      </c>
      <c r="K627" s="178">
        <f t="shared" si="30"/>
        <v>1.6512865795197182</v>
      </c>
      <c r="M627" s="178">
        <f t="shared" si="38"/>
        <v>0.38202328072969172</v>
      </c>
      <c r="N627" s="178">
        <f t="shared" si="32"/>
        <v>0.87146082384272983</v>
      </c>
      <c r="O627" s="178">
        <f t="shared" si="33"/>
        <v>-0.50128692118329032</v>
      </c>
      <c r="P627" s="178">
        <f t="shared" si="34"/>
        <v>0.44462868602535305</v>
      </c>
    </row>
    <row r="628" spans="1:16">
      <c r="A628" s="178">
        <f t="shared" si="35"/>
        <v>68</v>
      </c>
      <c r="B628" s="178">
        <f t="shared" si="22"/>
        <v>2.4750868534162964</v>
      </c>
      <c r="C628" s="178">
        <f t="shared" si="36"/>
        <v>0.26890115751024485</v>
      </c>
      <c r="D628" s="178">
        <f t="shared" si="24"/>
        <v>0.71782280994636349</v>
      </c>
      <c r="E628" s="178">
        <f t="shared" si="25"/>
        <v>0.40741903624325781</v>
      </c>
      <c r="F628" s="178">
        <f t="shared" si="26"/>
        <v>5.072969197687216E-2</v>
      </c>
      <c r="H628" s="178">
        <f t="shared" si="37"/>
        <v>0.29874941860157511</v>
      </c>
      <c r="I628" s="178">
        <f t="shared" si="28"/>
        <v>0.79750176278900831</v>
      </c>
      <c r="J628" s="178">
        <f t="shared" si="29"/>
        <v>1.0435417417815458</v>
      </c>
      <c r="K628" s="178">
        <f t="shared" si="30"/>
        <v>1.6928899003191393</v>
      </c>
      <c r="M628" s="178">
        <f t="shared" si="38"/>
        <v>0.3265015496502312</v>
      </c>
      <c r="N628" s="178">
        <f t="shared" si="32"/>
        <v>0.87158516531429142</v>
      </c>
      <c r="O628" s="178">
        <f t="shared" si="33"/>
        <v>-0.55680865226275089</v>
      </c>
      <c r="P628" s="178">
        <f t="shared" si="34"/>
        <v>0.46948457913187575</v>
      </c>
    </row>
    <row r="629" spans="1:16">
      <c r="A629" s="178">
        <f t="shared" si="35"/>
        <v>72</v>
      </c>
      <c r="B629" s="178">
        <f t="shared" si="22"/>
        <v>3.0776835371752527</v>
      </c>
      <c r="C629" s="178">
        <f t="shared" si="36"/>
        <v>0.23205575336736561</v>
      </c>
      <c r="D629" s="178">
        <f t="shared" si="24"/>
        <v>0.75094819246672062</v>
      </c>
      <c r="E629" s="178">
        <f t="shared" si="25"/>
        <v>0.37057363210037852</v>
      </c>
      <c r="F629" s="178">
        <f t="shared" si="26"/>
        <v>9.9370144000382132E-2</v>
      </c>
      <c r="H629" s="178">
        <f t="shared" si="37"/>
        <v>0.25449537510252668</v>
      </c>
      <c r="I629" s="178">
        <f t="shared" si="28"/>
        <v>0.82356433379108362</v>
      </c>
      <c r="J629" s="178">
        <f t="shared" si="29"/>
        <v>0.99928769828249719</v>
      </c>
      <c r="K629" s="178">
        <f t="shared" si="30"/>
        <v>1.7367153681129057</v>
      </c>
      <c r="M629" s="178">
        <f t="shared" si="38"/>
        <v>0.27044864113038969</v>
      </c>
      <c r="N629" s="178">
        <f t="shared" si="32"/>
        <v>0.87519018712038643</v>
      </c>
      <c r="O629" s="178">
        <f t="shared" si="33"/>
        <v>-0.61286156078259235</v>
      </c>
      <c r="P629" s="178">
        <f t="shared" si="34"/>
        <v>0.49372021643095859</v>
      </c>
    </row>
    <row r="630" spans="1:16">
      <c r="A630" s="178">
        <f t="shared" si="35"/>
        <v>76</v>
      </c>
      <c r="B630" s="178">
        <f t="shared" ref="B630:B656" si="39">TAN(A630*PI()/180)</f>
        <v>4.010780933535842</v>
      </c>
      <c r="C630" s="178">
        <f t="shared" ref="C630:C656" si="40">$B$562/(SQRT(1/(1-$C$169^2)*(1/$E$169+B630^2/$F$170-2*$C$169*B630/SQRT($E$169*$F$170))))</f>
        <v>0.19124154850872152</v>
      </c>
      <c r="D630" s="178">
        <f t="shared" ref="D630:D656" si="41">C630*SQRT(B630^2+1)</f>
        <v>0.79050946601868499</v>
      </c>
      <c r="E630" s="178">
        <f t="shared" ref="E630:E656" si="42">D630*COS(A630*PI()/180)+$C$158</f>
        <v>0.32975942724173446</v>
      </c>
      <c r="F630" s="178">
        <f t="shared" ref="F630:F656" si="43">D630*SIN(A630*PI()/180)+$D$158</f>
        <v>0.15220392861349041</v>
      </c>
      <c r="H630" s="178">
        <f t="shared" ref="H630:H656" si="44">$B$562/(SQRT(1/(1-$C$172^2)*(1/$E$172+B630^2/$F$173-2*$C$172*B630/SQRT($E$172*$F$173))))</f>
        <v>0.20691432915281396</v>
      </c>
      <c r="I630" s="178">
        <f t="shared" ref="I630:I656" si="45">H630*SQRT(B630^2+1)</f>
        <v>0.85529393129101305</v>
      </c>
      <c r="J630" s="178">
        <f t="shared" ref="J630:J656" si="46">I630*COS(A630*PI()/180)+$C$159</f>
        <v>0.95170665233278462</v>
      </c>
      <c r="K630" s="178">
        <f t="shared" ref="K630:K656" si="47">I630*SIN(A630*PI()/180)+$D$159</f>
        <v>1.7833471881140843</v>
      </c>
      <c r="M630" s="178">
        <f t="shared" ref="M630:M656" si="48">$B$562/(SQRT(1/(1-$C$175^2)*(1/$E$175+B630^2/$F$176-2*$C$175*B630/SQRT($E$175*$F$176))))</f>
        <v>0.21345616907893963</v>
      </c>
      <c r="N630" s="178">
        <f t="shared" ref="N630:N656" si="49">M630*SQRT(B630^2+1)</f>
        <v>0.88233505507978782</v>
      </c>
      <c r="O630" s="178">
        <f t="shared" ref="O630:O656" si="50">N630*COS(A630*PI()/180)+$C$160</f>
        <v>-0.66985403283404232</v>
      </c>
      <c r="P630" s="178">
        <f t="shared" ref="P630:P656" si="51">N630*SIN(A630*PI()/180)+$D$160</f>
        <v>0.51749081905995431</v>
      </c>
    </row>
    <row r="631" spans="1:16">
      <c r="A631" s="178">
        <f t="shared" ref="A631:A656" si="52">A630+$A$562</f>
        <v>80</v>
      </c>
      <c r="B631" s="178">
        <f t="shared" si="39"/>
        <v>5.6712818196177066</v>
      </c>
      <c r="C631" s="178">
        <f t="shared" si="40"/>
        <v>0.14546876101420486</v>
      </c>
      <c r="D631" s="178">
        <f t="shared" si="41"/>
        <v>0.83772120714807785</v>
      </c>
      <c r="E631" s="178">
        <f t="shared" si="42"/>
        <v>0.28398663974721777</v>
      </c>
      <c r="F631" s="178">
        <f t="shared" si="43"/>
        <v>0.2101703118170134</v>
      </c>
      <c r="H631" s="178">
        <f t="shared" si="44"/>
        <v>0.15517254137776446</v>
      </c>
      <c r="I631" s="178">
        <f t="shared" si="45"/>
        <v>0.89360305108065352</v>
      </c>
      <c r="J631" s="178">
        <f t="shared" si="46"/>
        <v>0.89996486455773494</v>
      </c>
      <c r="K631" s="178">
        <f t="shared" si="47"/>
        <v>1.8334863546922104</v>
      </c>
      <c r="M631" s="178">
        <f t="shared" si="48"/>
        <v>0.15509173276207761</v>
      </c>
      <c r="N631" s="178">
        <f t="shared" si="49"/>
        <v>0.89313769280985245</v>
      </c>
      <c r="O631" s="178">
        <f t="shared" si="50"/>
        <v>-0.72821846915090449</v>
      </c>
      <c r="P631" s="178">
        <f t="shared" si="51"/>
        <v>0.54093381035911881</v>
      </c>
    </row>
    <row r="632" spans="1:16">
      <c r="A632" s="178">
        <f t="shared" si="52"/>
        <v>84</v>
      </c>
      <c r="B632" s="178">
        <f t="shared" si="39"/>
        <v>9.5143644542225871</v>
      </c>
      <c r="C632" s="178">
        <f t="shared" si="40"/>
        <v>9.3461768406406923E-2</v>
      </c>
      <c r="D632" s="178">
        <f t="shared" si="41"/>
        <v>0.89412745088474721</v>
      </c>
      <c r="E632" s="178">
        <f t="shared" si="42"/>
        <v>0.23197964713941988</v>
      </c>
      <c r="F632" s="178">
        <f t="shared" si="43"/>
        <v>0.27440529930954183</v>
      </c>
      <c r="H632" s="178">
        <f t="shared" si="44"/>
        <v>9.8223048274331329E-2</v>
      </c>
      <c r="I632" s="178">
        <f t="shared" si="45"/>
        <v>0.9396775309211558</v>
      </c>
      <c r="J632" s="178">
        <f t="shared" si="46"/>
        <v>0.84301537145430194</v>
      </c>
      <c r="K632" s="178">
        <f t="shared" si="47"/>
        <v>1.8879890209593058</v>
      </c>
      <c r="M632" s="178">
        <f t="shared" si="48"/>
        <v>9.4888636742227569E-2</v>
      </c>
      <c r="N632" s="178">
        <f t="shared" si="49"/>
        <v>0.90777797526074455</v>
      </c>
      <c r="O632" s="178">
        <f t="shared" si="50"/>
        <v>-0.78842156517075446</v>
      </c>
      <c r="P632" s="178">
        <f t="shared" si="51"/>
        <v>0.56416995850242957</v>
      </c>
    </row>
    <row r="633" spans="1:16">
      <c r="A633" s="178">
        <f t="shared" si="52"/>
        <v>88</v>
      </c>
      <c r="B633" s="178">
        <f t="shared" si="39"/>
        <v>28.636253282915515</v>
      </c>
      <c r="C633" s="178">
        <f t="shared" si="40"/>
        <v>3.356212720904473E-2</v>
      </c>
      <c r="D633" s="178">
        <f t="shared" si="41"/>
        <v>0.96167940458119827</v>
      </c>
      <c r="E633" s="178">
        <f t="shared" si="42"/>
        <v>0.17208000594205766</v>
      </c>
      <c r="F633" s="178">
        <f t="shared" si="43"/>
        <v>0.34626954762647566</v>
      </c>
      <c r="H633" s="178">
        <f t="shared" si="44"/>
        <v>3.4727228343887646E-2</v>
      </c>
      <c r="I633" s="178">
        <f t="shared" si="45"/>
        <v>0.99506387269472896</v>
      </c>
      <c r="J633" s="178">
        <f t="shared" si="46"/>
        <v>0.77951955152385821</v>
      </c>
      <c r="K633" s="178">
        <f t="shared" si="47"/>
        <v>1.9479168485418281</v>
      </c>
      <c r="M633" s="178">
        <f t="shared" si="48"/>
        <v>3.2334469114219319E-2</v>
      </c>
      <c r="N633" s="178">
        <f t="shared" si="49"/>
        <v>0.92650244758120148</v>
      </c>
      <c r="O633" s="178">
        <f t="shared" si="50"/>
        <v>-0.85097573279876271</v>
      </c>
      <c r="P633" s="178">
        <f t="shared" si="51"/>
        <v>0.58730293329593364</v>
      </c>
    </row>
    <row r="634" spans="1:16">
      <c r="A634" s="178">
        <f t="shared" si="52"/>
        <v>92</v>
      </c>
      <c r="B634" s="178">
        <f t="shared" si="39"/>
        <v>-28.636253282915796</v>
      </c>
      <c r="C634" s="178">
        <f t="shared" si="40"/>
        <v>3.6393371764455444E-2</v>
      </c>
      <c r="D634" s="178">
        <f t="shared" si="41"/>
        <v>1.0428050603333676</v>
      </c>
      <c r="E634" s="178">
        <f t="shared" si="42"/>
        <v>0.10212450696855749</v>
      </c>
      <c r="F634" s="178">
        <f t="shared" si="43"/>
        <v>0.42734578382110266</v>
      </c>
      <c r="H634" s="178">
        <f t="shared" si="44"/>
        <v>3.7055946871229199E-2</v>
      </c>
      <c r="I634" s="178">
        <f t="shared" si="45"/>
        <v>1.0617902942014044</v>
      </c>
      <c r="J634" s="178">
        <f t="shared" si="46"/>
        <v>0.70773637630874142</v>
      </c>
      <c r="K634" s="178">
        <f t="shared" si="47"/>
        <v>2.0146026221154094</v>
      </c>
      <c r="M634" s="178">
        <f t="shared" si="48"/>
        <v>3.31416243504205E-2</v>
      </c>
      <c r="N634" s="178">
        <f t="shared" si="49"/>
        <v>0.94963043831075433</v>
      </c>
      <c r="O634" s="178">
        <f t="shared" si="50"/>
        <v>-0.91645182626340249</v>
      </c>
      <c r="P634" s="178">
        <f t="shared" si="51"/>
        <v>0.61041683507843159</v>
      </c>
    </row>
    <row r="635" spans="1:16">
      <c r="A635" s="178">
        <f t="shared" si="52"/>
        <v>96</v>
      </c>
      <c r="B635" s="178">
        <f t="shared" si="39"/>
        <v>-9.5143644542225978</v>
      </c>
      <c r="C635" s="178">
        <f t="shared" si="40"/>
        <v>0.11920616313346463</v>
      </c>
      <c r="D635" s="178">
        <f t="shared" si="41"/>
        <v>1.1404182115279731</v>
      </c>
      <c r="E635" s="178">
        <f t="shared" si="42"/>
        <v>1.9311715599548293E-2</v>
      </c>
      <c r="F635" s="178">
        <f t="shared" si="43"/>
        <v>0.51934685339613662</v>
      </c>
      <c r="H635" s="178">
        <f t="shared" si="44"/>
        <v>0.11942722779110031</v>
      </c>
      <c r="I635" s="178">
        <f t="shared" si="45"/>
        <v>1.1425330867564516</v>
      </c>
      <c r="J635" s="178">
        <f t="shared" si="46"/>
        <v>0.6253650953888702</v>
      </c>
      <c r="K635" s="178">
        <f t="shared" si="47"/>
        <v>2.0897333128346087</v>
      </c>
      <c r="M635" s="178">
        <f t="shared" si="48"/>
        <v>0.10218297310111973</v>
      </c>
      <c r="N635" s="178">
        <f t="shared" si="49"/>
        <v>0.97756122980084592</v>
      </c>
      <c r="O635" s="178">
        <f t="shared" si="50"/>
        <v>-0.98549317501410183</v>
      </c>
      <c r="P635" s="178">
        <f t="shared" si="51"/>
        <v>0.6335709330726178</v>
      </c>
    </row>
    <row r="636" spans="1:16">
      <c r="A636" s="178">
        <f t="shared" si="52"/>
        <v>100</v>
      </c>
      <c r="B636" s="178">
        <f t="shared" si="39"/>
        <v>-5.6712818196177111</v>
      </c>
      <c r="C636" s="178">
        <f t="shared" si="40"/>
        <v>0.21840224357926644</v>
      </c>
      <c r="D636" s="178">
        <f t="shared" si="41"/>
        <v>1.2577283937766259</v>
      </c>
      <c r="E636" s="178">
        <f t="shared" si="42"/>
        <v>-7.9884364846253469E-2</v>
      </c>
      <c r="F636" s="178">
        <f t="shared" si="43"/>
        <v>0.62379664552965297</v>
      </c>
      <c r="H636" s="178">
        <f t="shared" si="44"/>
        <v>0.21546947450412876</v>
      </c>
      <c r="I636" s="178">
        <f t="shared" si="45"/>
        <v>1.2408392497928467</v>
      </c>
      <c r="J636" s="178">
        <f t="shared" si="46"/>
        <v>0.52932284867584189</v>
      </c>
      <c r="K636" s="178">
        <f t="shared" si="47"/>
        <v>2.1754472553104658</v>
      </c>
      <c r="M636" s="178">
        <f t="shared" si="48"/>
        <v>0.17552037086964953</v>
      </c>
      <c r="N636" s="178">
        <f t="shared" si="49"/>
        <v>1.0107815309545616</v>
      </c>
      <c r="O636" s="178">
        <f t="shared" si="50"/>
        <v>-1.0588305727826315</v>
      </c>
      <c r="P636" s="178">
        <f t="shared" si="51"/>
        <v>0.6567903742581418</v>
      </c>
    </row>
    <row r="637" spans="1:16">
      <c r="A637" s="178">
        <f t="shared" si="52"/>
        <v>104</v>
      </c>
      <c r="B637" s="178">
        <f t="shared" si="39"/>
        <v>-4.0107809335358438</v>
      </c>
      <c r="C637" s="178">
        <f t="shared" si="40"/>
        <v>0.33809037000106074</v>
      </c>
      <c r="D637" s="178">
        <f t="shared" si="41"/>
        <v>1.397518687438414</v>
      </c>
      <c r="E637" s="178">
        <f t="shared" si="42"/>
        <v>-0.1995724912680478</v>
      </c>
      <c r="F637" s="178">
        <f t="shared" si="43"/>
        <v>0.74118238196717356</v>
      </c>
      <c r="H637" s="178">
        <f t="shared" si="44"/>
        <v>0.32935344812471584</v>
      </c>
      <c r="I637" s="178">
        <f t="shared" si="45"/>
        <v>1.3614040486427477</v>
      </c>
      <c r="J637" s="178">
        <f t="shared" si="46"/>
        <v>0.41543887505525473</v>
      </c>
      <c r="K637" s="178">
        <f t="shared" si="47"/>
        <v>2.2744236720055158</v>
      </c>
      <c r="M637" s="178">
        <f t="shared" si="48"/>
        <v>0.25398695113253444</v>
      </c>
      <c r="N637" s="178">
        <f t="shared" si="49"/>
        <v>1.0498716972391451</v>
      </c>
      <c r="O637" s="178">
        <f t="shared" si="50"/>
        <v>-1.1372971530455165</v>
      </c>
      <c r="P637" s="178">
        <f t="shared" si="51"/>
        <v>0.6800509069418097</v>
      </c>
    </row>
    <row r="638" spans="1:16">
      <c r="A638" s="178">
        <f t="shared" si="52"/>
        <v>108</v>
      </c>
      <c r="B638" s="178">
        <f t="shared" si="39"/>
        <v>-3.077683537175254</v>
      </c>
      <c r="C638" s="178">
        <f t="shared" si="40"/>
        <v>0.48212319572879536</v>
      </c>
      <c r="D638" s="178">
        <f t="shared" si="41"/>
        <v>1.5601834349078183</v>
      </c>
      <c r="E638" s="178">
        <f t="shared" si="42"/>
        <v>-0.34360531699578234</v>
      </c>
      <c r="F638" s="178">
        <f t="shared" si="43"/>
        <v>0.86899859453967665</v>
      </c>
      <c r="H638" s="178">
        <f t="shared" si="44"/>
        <v>0.46672408287017081</v>
      </c>
      <c r="I638" s="178">
        <f t="shared" si="45"/>
        <v>1.5103508589041181</v>
      </c>
      <c r="J638" s="178">
        <f t="shared" si="46"/>
        <v>0.27806824030979982</v>
      </c>
      <c r="K638" s="178">
        <f t="shared" si="47"/>
        <v>2.3898881681253625</v>
      </c>
      <c r="M638" s="178">
        <f t="shared" si="48"/>
        <v>0.33853048557310195</v>
      </c>
      <c r="N638" s="178">
        <f t="shared" si="49"/>
        <v>1.0955076637705699</v>
      </c>
      <c r="O638" s="178">
        <f t="shared" si="50"/>
        <v>-1.2218406874860839</v>
      </c>
      <c r="P638" s="178">
        <f t="shared" si="51"/>
        <v>0.70325458825282094</v>
      </c>
    </row>
    <row r="639" spans="1:16">
      <c r="A639" s="178">
        <f t="shared" si="52"/>
        <v>112</v>
      </c>
      <c r="B639" s="178">
        <f t="shared" si="39"/>
        <v>-2.4750868534162955</v>
      </c>
      <c r="C639" s="178">
        <f t="shared" si="40"/>
        <v>0.65158520673431974</v>
      </c>
      <c r="D639" s="178">
        <f t="shared" si="41"/>
        <v>1.7393853129832351</v>
      </c>
      <c r="E639" s="178">
        <f t="shared" si="42"/>
        <v>-0.51306732800130683</v>
      </c>
      <c r="F639" s="178">
        <f t="shared" si="43"/>
        <v>0.99790595122349413</v>
      </c>
      <c r="H639" s="178">
        <f t="shared" si="44"/>
        <v>0.63506697185577732</v>
      </c>
      <c r="I639" s="178">
        <f t="shared" si="45"/>
        <v>1.6952904273916116</v>
      </c>
      <c r="J639" s="178">
        <f t="shared" si="46"/>
        <v>0.10972535132419337</v>
      </c>
      <c r="K639" s="178">
        <f t="shared" si="47"/>
        <v>2.5253050549517497</v>
      </c>
      <c r="M639" s="178">
        <f t="shared" si="48"/>
        <v>0.43021802742292403</v>
      </c>
      <c r="N639" s="178">
        <f t="shared" si="49"/>
        <v>1.148452896944258</v>
      </c>
      <c r="O639" s="178">
        <f t="shared" si="50"/>
        <v>-1.3135282293359061</v>
      </c>
      <c r="P639" s="178">
        <f t="shared" si="51"/>
        <v>0.72619186974971095</v>
      </c>
    </row>
    <row r="640" spans="1:16">
      <c r="A640" s="178">
        <f t="shared" si="52"/>
        <v>116</v>
      </c>
      <c r="B640" s="178">
        <f t="shared" si="39"/>
        <v>-2.0503038415792956</v>
      </c>
      <c r="C640" s="178">
        <f t="shared" si="40"/>
        <v>0.83943918987417432</v>
      </c>
      <c r="D640" s="178">
        <f t="shared" si="41"/>
        <v>1.9149052030973903</v>
      </c>
      <c r="E640" s="178">
        <f t="shared" si="42"/>
        <v>-0.70092131114116152</v>
      </c>
      <c r="F640" s="178">
        <f t="shared" si="43"/>
        <v>1.1062813679260719</v>
      </c>
      <c r="H640" s="178">
        <f t="shared" si="44"/>
        <v>0.84361411615860549</v>
      </c>
      <c r="I640" s="178">
        <f t="shared" si="45"/>
        <v>1.9244289281760392</v>
      </c>
      <c r="J640" s="178">
        <f t="shared" si="46"/>
        <v>-9.8821792978635026E-2</v>
      </c>
      <c r="K640" s="178">
        <f t="shared" si="47"/>
        <v>2.68312440504313</v>
      </c>
      <c r="M640" s="178">
        <f t="shared" si="48"/>
        <v>0.53022306273997233</v>
      </c>
      <c r="N640" s="178">
        <f t="shared" si="49"/>
        <v>1.2095300218175387</v>
      </c>
      <c r="O640" s="178">
        <f t="shared" si="50"/>
        <v>-1.4135332646529544</v>
      </c>
      <c r="P640" s="178">
        <f t="shared" si="51"/>
        <v>0.74848326840224555</v>
      </c>
    </row>
    <row r="641" spans="1:16">
      <c r="A641" s="178">
        <f t="shared" si="52"/>
        <v>120</v>
      </c>
      <c r="B641" s="178">
        <f t="shared" si="39"/>
        <v>-1.7320508075688783</v>
      </c>
      <c r="C641" s="178">
        <f t="shared" si="40"/>
        <v>1.023832758103197</v>
      </c>
      <c r="D641" s="178">
        <f t="shared" si="41"/>
        <v>2.0476655162063948</v>
      </c>
      <c r="E641" s="178">
        <f t="shared" si="42"/>
        <v>-0.88531487937018405</v>
      </c>
      <c r="F641" s="178">
        <f t="shared" si="43"/>
        <v>1.1585063276429546</v>
      </c>
      <c r="H641" s="178">
        <f t="shared" si="44"/>
        <v>1.1013296072315466</v>
      </c>
      <c r="I641" s="178">
        <f t="shared" si="45"/>
        <v>2.2026592144630941</v>
      </c>
      <c r="J641" s="178">
        <f t="shared" si="46"/>
        <v>-0.35653728405157603</v>
      </c>
      <c r="K641" s="178">
        <f t="shared" si="47"/>
        <v>2.8610179774775344</v>
      </c>
      <c r="M641" s="178">
        <f t="shared" si="48"/>
        <v>0.63977699006861943</v>
      </c>
      <c r="N641" s="178">
        <f t="shared" si="49"/>
        <v>1.2795539801372395</v>
      </c>
      <c r="O641" s="178">
        <f t="shared" si="50"/>
        <v>-1.5230871919816016</v>
      </c>
      <c r="P641" s="178">
        <f t="shared" si="51"/>
        <v>0.76949113828487881</v>
      </c>
    </row>
    <row r="642" spans="1:16">
      <c r="A642" s="178">
        <f t="shared" si="52"/>
        <v>124</v>
      </c>
      <c r="B642" s="178">
        <f t="shared" si="39"/>
        <v>-1.4825609685127408</v>
      </c>
      <c r="C642" s="178">
        <f t="shared" si="40"/>
        <v>1.1697027988517568</v>
      </c>
      <c r="D642" s="178">
        <f t="shared" si="41"/>
        <v>2.0917697481347739</v>
      </c>
      <c r="E642" s="178">
        <f t="shared" si="42"/>
        <v>-1.0311849201187437</v>
      </c>
      <c r="F642" s="178">
        <f t="shared" si="43"/>
        <v>1.1193316864925644</v>
      </c>
      <c r="H642" s="178">
        <f t="shared" si="44"/>
        <v>1.4091757878772031</v>
      </c>
      <c r="I642" s="178">
        <f t="shared" si="45"/>
        <v>2.5200172948026727</v>
      </c>
      <c r="J642" s="178">
        <f t="shared" si="46"/>
        <v>-0.66438346469723253</v>
      </c>
      <c r="K642" s="178">
        <f t="shared" si="47"/>
        <v>3.0426481627525495</v>
      </c>
      <c r="M642" s="178">
        <f t="shared" si="48"/>
        <v>0.76005294127877576</v>
      </c>
      <c r="N642" s="178">
        <f t="shared" si="49"/>
        <v>1.3591963284250383</v>
      </c>
      <c r="O642" s="178">
        <f t="shared" si="50"/>
        <v>-1.6433631431917579</v>
      </c>
      <c r="P642" s="178">
        <f t="shared" si="51"/>
        <v>0.78818971071575938</v>
      </c>
    </row>
    <row r="643" spans="1:16">
      <c r="A643" s="178">
        <f t="shared" si="52"/>
        <v>128</v>
      </c>
      <c r="B643" s="178">
        <f t="shared" si="39"/>
        <v>-1.2799416321930788</v>
      </c>
      <c r="C643" s="178">
        <f t="shared" si="40"/>
        <v>1.2487963981066366</v>
      </c>
      <c r="D643" s="178">
        <f t="shared" si="41"/>
        <v>2.0283815833142351</v>
      </c>
      <c r="E643" s="178">
        <f t="shared" si="42"/>
        <v>-1.1102785193736235</v>
      </c>
      <c r="F643" s="178">
        <f t="shared" si="43"/>
        <v>0.98356247222428672</v>
      </c>
      <c r="H643" s="178">
        <f t="shared" si="44"/>
        <v>1.7411257546495134</v>
      </c>
      <c r="I643" s="178">
        <f t="shared" si="45"/>
        <v>2.8280570157951384</v>
      </c>
      <c r="J643" s="178">
        <f t="shared" si="46"/>
        <v>-0.99633343146954279</v>
      </c>
      <c r="K643" s="178">
        <f t="shared" si="47"/>
        <v>3.1819984821321228</v>
      </c>
      <c r="M643" s="178">
        <f t="shared" si="48"/>
        <v>0.89192937033779052</v>
      </c>
      <c r="N643" s="178">
        <f t="shared" si="49"/>
        <v>1.4487334453824621</v>
      </c>
      <c r="O643" s="178">
        <f t="shared" si="50"/>
        <v>-1.7752395722507726</v>
      </c>
      <c r="P643" s="178">
        <f t="shared" si="51"/>
        <v>0.80298242004363707</v>
      </c>
    </row>
    <row r="644" spans="1:16">
      <c r="A644" s="178">
        <f t="shared" si="52"/>
        <v>132</v>
      </c>
      <c r="B644" s="178">
        <f t="shared" si="39"/>
        <v>-1.1106125148291928</v>
      </c>
      <c r="C644" s="178">
        <f t="shared" si="40"/>
        <v>1.2606343226574213</v>
      </c>
      <c r="D644" s="178">
        <f t="shared" si="41"/>
        <v>1.8839884331659709</v>
      </c>
      <c r="E644" s="178">
        <f t="shared" si="42"/>
        <v>-1.1221164439244082</v>
      </c>
      <c r="F644" s="178">
        <f t="shared" si="43"/>
        <v>0.78525222752139523</v>
      </c>
      <c r="H644" s="178">
        <f t="shared" si="44"/>
        <v>2.0226804098670605</v>
      </c>
      <c r="I644" s="178">
        <f t="shared" si="45"/>
        <v>3.022848440416857</v>
      </c>
      <c r="J644" s="178">
        <f t="shared" si="46"/>
        <v>-1.2778880866870899</v>
      </c>
      <c r="K644" s="178">
        <f t="shared" si="47"/>
        <v>3.199873318570817</v>
      </c>
      <c r="M644" s="178">
        <f t="shared" si="48"/>
        <v>1.0355565821812811</v>
      </c>
      <c r="N644" s="178">
        <f t="shared" si="49"/>
        <v>1.5476150281278671</v>
      </c>
      <c r="O644" s="178">
        <f t="shared" si="50"/>
        <v>-1.9188667840942633</v>
      </c>
      <c r="P644" s="178">
        <f t="shared" si="51"/>
        <v>0.81146698595681666</v>
      </c>
    </row>
    <row r="645" spans="1:16">
      <c r="A645" s="178">
        <f t="shared" si="52"/>
        <v>136</v>
      </c>
      <c r="B645" s="178">
        <f t="shared" si="39"/>
        <v>-0.96568877480707371</v>
      </c>
      <c r="C645" s="178">
        <f t="shared" si="40"/>
        <v>1.2267420777069353</v>
      </c>
      <c r="D645" s="178">
        <f t="shared" si="41"/>
        <v>1.7053721719963346</v>
      </c>
      <c r="E645" s="178">
        <f t="shared" si="42"/>
        <v>-1.0882241989739223</v>
      </c>
      <c r="F645" s="178">
        <f t="shared" si="43"/>
        <v>0.56982702617993464</v>
      </c>
      <c r="H645" s="178">
        <f t="shared" si="44"/>
        <v>2.1592262770998696</v>
      </c>
      <c r="I645" s="178">
        <f t="shared" si="45"/>
        <v>3.0016777551907285</v>
      </c>
      <c r="J645" s="178">
        <f t="shared" si="46"/>
        <v>-1.4144339539198989</v>
      </c>
      <c r="K645" s="178">
        <f t="shared" si="47"/>
        <v>3.0385997199364305</v>
      </c>
      <c r="M645" s="178">
        <f t="shared" si="48"/>
        <v>1.1896394731689608</v>
      </c>
      <c r="N645" s="178">
        <f t="shared" si="49"/>
        <v>1.653793482035752</v>
      </c>
      <c r="O645" s="178">
        <f t="shared" si="50"/>
        <v>-2.0729496750819427</v>
      </c>
      <c r="P645" s="178">
        <f t="shared" si="51"/>
        <v>0.81018637127920656</v>
      </c>
    </row>
    <row r="646" spans="1:16">
      <c r="A646" s="178">
        <f t="shared" si="52"/>
        <v>140</v>
      </c>
      <c r="B646" s="178">
        <f t="shared" si="39"/>
        <v>-0.83909963117728037</v>
      </c>
      <c r="C646" s="178">
        <f t="shared" si="40"/>
        <v>1.1707058850223739</v>
      </c>
      <c r="D646" s="178">
        <f t="shared" si="41"/>
        <v>1.5282479959724036</v>
      </c>
      <c r="E646" s="178">
        <f t="shared" si="42"/>
        <v>-1.0321880062893609</v>
      </c>
      <c r="F646" s="178">
        <f t="shared" si="43"/>
        <v>0.36751484849418581</v>
      </c>
      <c r="H646" s="178">
        <f t="shared" si="44"/>
        <v>2.1274904310105422</v>
      </c>
      <c r="I646" s="178">
        <f t="shared" si="45"/>
        <v>2.7772415166258333</v>
      </c>
      <c r="J646" s="178">
        <f t="shared" si="46"/>
        <v>-1.3826981078305716</v>
      </c>
      <c r="K646" s="178">
        <f t="shared" si="47"/>
        <v>2.7386355778667579</v>
      </c>
      <c r="M646" s="178">
        <f t="shared" si="48"/>
        <v>1.3504073325509358</v>
      </c>
      <c r="N646" s="178">
        <f t="shared" si="49"/>
        <v>1.7628315754797503</v>
      </c>
      <c r="O646" s="178">
        <f t="shared" si="50"/>
        <v>-2.233717534463918</v>
      </c>
      <c r="P646" s="178">
        <f t="shared" si="51"/>
        <v>0.79449118065512558</v>
      </c>
    </row>
    <row r="647" spans="1:16">
      <c r="A647" s="178">
        <f t="shared" si="52"/>
        <v>144</v>
      </c>
      <c r="B647" s="178">
        <f t="shared" si="39"/>
        <v>-0.72654252800536101</v>
      </c>
      <c r="C647" s="178">
        <f t="shared" si="40"/>
        <v>1.1080745612133185</v>
      </c>
      <c r="D647" s="178">
        <f t="shared" si="41"/>
        <v>1.3696554817979136</v>
      </c>
      <c r="E647" s="178">
        <f t="shared" si="42"/>
        <v>-0.96955668248030558</v>
      </c>
      <c r="F647" s="178">
        <f t="shared" si="43"/>
        <v>0.19023926507719602</v>
      </c>
      <c r="H647" s="178">
        <f t="shared" si="44"/>
        <v>1.9912767999694887</v>
      </c>
      <c r="I647" s="178">
        <f t="shared" si="45"/>
        <v>2.4613534867805393</v>
      </c>
      <c r="J647" s="178">
        <f t="shared" si="46"/>
        <v>-1.2464844767895182</v>
      </c>
      <c r="K647" s="178">
        <f t="shared" si="47"/>
        <v>2.4002064220808768</v>
      </c>
      <c r="M647" s="178">
        <f t="shared" si="48"/>
        <v>1.5104696158126611</v>
      </c>
      <c r="N647" s="178">
        <f t="shared" si="49"/>
        <v>1.8670431230924407</v>
      </c>
      <c r="O647" s="178">
        <f t="shared" si="50"/>
        <v>-2.3937798177256431</v>
      </c>
      <c r="P647" s="178">
        <f t="shared" si="51"/>
        <v>0.75878529912035764</v>
      </c>
    </row>
    <row r="648" spans="1:16">
      <c r="A648" s="178">
        <f t="shared" si="52"/>
        <v>148</v>
      </c>
      <c r="B648" s="178">
        <f t="shared" si="39"/>
        <v>-0.62486935190932746</v>
      </c>
      <c r="C648" s="178">
        <f t="shared" si="40"/>
        <v>1.0466630778490424</v>
      </c>
      <c r="D648" s="178">
        <f t="shared" si="41"/>
        <v>1.2342024969960916</v>
      </c>
      <c r="E648" s="178">
        <f t="shared" si="42"/>
        <v>-0.90814519911602953</v>
      </c>
      <c r="F648" s="178">
        <f t="shared" si="43"/>
        <v>3.9203651277793461E-2</v>
      </c>
      <c r="H648" s="178">
        <f t="shared" si="44"/>
        <v>1.8224361712521497</v>
      </c>
      <c r="I648" s="178">
        <f t="shared" si="45"/>
        <v>2.1489773746464422</v>
      </c>
      <c r="J648" s="178">
        <f t="shared" si="46"/>
        <v>-1.0776438480721793</v>
      </c>
      <c r="K648" s="178">
        <f t="shared" si="47"/>
        <v>2.0922436510990656</v>
      </c>
      <c r="M648" s="178">
        <f t="shared" si="48"/>
        <v>1.6582386142310153</v>
      </c>
      <c r="N648" s="178">
        <f t="shared" si="49"/>
        <v>1.955359161522304</v>
      </c>
      <c r="O648" s="178">
        <f t="shared" si="50"/>
        <v>-2.5415488161439974</v>
      </c>
      <c r="P648" s="178">
        <f t="shared" si="51"/>
        <v>0.6975473741580962</v>
      </c>
    </row>
    <row r="649" spans="1:16">
      <c r="A649" s="178">
        <f t="shared" si="52"/>
        <v>152</v>
      </c>
      <c r="B649" s="178">
        <f t="shared" si="39"/>
        <v>-0.53170943166147921</v>
      </c>
      <c r="C649" s="178">
        <f t="shared" si="40"/>
        <v>0.98961469430328319</v>
      </c>
      <c r="D649" s="178">
        <f t="shared" si="41"/>
        <v>1.1208079644896876</v>
      </c>
      <c r="E649" s="178">
        <f t="shared" si="42"/>
        <v>-0.85109681557027017</v>
      </c>
      <c r="F649" s="178">
        <f t="shared" si="43"/>
        <v>-8.8636561173312534E-2</v>
      </c>
      <c r="H649" s="178">
        <f t="shared" si="44"/>
        <v>1.6595298740218167</v>
      </c>
      <c r="I649" s="178">
        <f t="shared" si="45"/>
        <v>1.879533833540864</v>
      </c>
      <c r="J649" s="178">
        <f t="shared" si="46"/>
        <v>-0.91473755084184616</v>
      </c>
      <c r="K649" s="178">
        <f t="shared" si="47"/>
        <v>1.835846828014005</v>
      </c>
      <c r="M649" s="178">
        <f t="shared" si="48"/>
        <v>1.7791061414728204</v>
      </c>
      <c r="N649" s="178">
        <f t="shared" si="49"/>
        <v>2.0149623328290533</v>
      </c>
      <c r="O649" s="178">
        <f t="shared" si="50"/>
        <v>-2.6624163433858024</v>
      </c>
      <c r="P649" s="178">
        <f t="shared" si="51"/>
        <v>0.60733240132050081</v>
      </c>
    </row>
    <row r="650" spans="1:16">
      <c r="A650" s="178">
        <f t="shared" si="52"/>
        <v>156</v>
      </c>
      <c r="B650" s="178">
        <f t="shared" si="39"/>
        <v>-0.44522868530853649</v>
      </c>
      <c r="C650" s="178">
        <f t="shared" si="40"/>
        <v>0.93776447251282569</v>
      </c>
      <c r="D650" s="178">
        <f t="shared" si="41"/>
        <v>1.0265110123066254</v>
      </c>
      <c r="E650" s="178">
        <f t="shared" si="42"/>
        <v>-0.79924659377981266</v>
      </c>
      <c r="F650" s="178">
        <f t="shared" si="43"/>
        <v>-0.19730438461922117</v>
      </c>
      <c r="H650" s="178">
        <f t="shared" si="44"/>
        <v>1.5154926026906359</v>
      </c>
      <c r="I650" s="178">
        <f t="shared" si="45"/>
        <v>1.6589131827127208</v>
      </c>
      <c r="J650" s="178">
        <f t="shared" si="46"/>
        <v>-0.77070027951066533</v>
      </c>
      <c r="K650" s="178">
        <f t="shared" si="47"/>
        <v>1.6281999209633828</v>
      </c>
      <c r="M650" s="178">
        <f t="shared" si="48"/>
        <v>1.8592059844554427</v>
      </c>
      <c r="N650" s="178">
        <f t="shared" si="49"/>
        <v>2.0351543198004771</v>
      </c>
      <c r="O650" s="178">
        <f t="shared" si="50"/>
        <v>-2.7425161863684249</v>
      </c>
      <c r="P650" s="178">
        <f t="shared" si="51"/>
        <v>0.48913672214940046</v>
      </c>
    </row>
    <row r="651" spans="1:16">
      <c r="A651" s="178">
        <f t="shared" si="52"/>
        <v>160</v>
      </c>
      <c r="B651" s="178">
        <f t="shared" si="39"/>
        <v>-0.36397023426620256</v>
      </c>
      <c r="C651" s="178">
        <f t="shared" si="40"/>
        <v>0.89094632540654028</v>
      </c>
      <c r="D651" s="178">
        <f t="shared" si="41"/>
        <v>0.94812527596673135</v>
      </c>
      <c r="E651" s="178">
        <f t="shared" si="42"/>
        <v>-0.75242844667352748</v>
      </c>
      <c r="F651" s="178">
        <f t="shared" si="43"/>
        <v>-0.29054608506832885</v>
      </c>
      <c r="H651" s="178">
        <f t="shared" si="44"/>
        <v>1.3917573111334756</v>
      </c>
      <c r="I651" s="178">
        <f t="shared" si="45"/>
        <v>1.4810771951890873</v>
      </c>
      <c r="J651" s="178">
        <f t="shared" si="46"/>
        <v>-0.64696498795350521</v>
      </c>
      <c r="K651" s="178">
        <f t="shared" si="47"/>
        <v>1.4600173764475701</v>
      </c>
      <c r="M651" s="178">
        <f t="shared" si="48"/>
        <v>1.8905708364203517</v>
      </c>
      <c r="N651" s="178">
        <f t="shared" si="49"/>
        <v>2.0119034614097324</v>
      </c>
      <c r="O651" s="178">
        <f t="shared" si="50"/>
        <v>-2.7738810383333341</v>
      </c>
      <c r="P651" s="178">
        <f t="shared" si="51"/>
        <v>0.34947639620130638</v>
      </c>
    </row>
    <row r="652" spans="1:16">
      <c r="A652" s="178">
        <f t="shared" si="52"/>
        <v>164</v>
      </c>
      <c r="B652" s="178">
        <f t="shared" si="39"/>
        <v>-0.28674538575880848</v>
      </c>
      <c r="C652" s="178">
        <f t="shared" si="40"/>
        <v>0.84862307604549159</v>
      </c>
      <c r="D652" s="178">
        <f t="shared" si="41"/>
        <v>0.88282210726926247</v>
      </c>
      <c r="E652" s="178">
        <f t="shared" si="42"/>
        <v>-0.71010519731247856</v>
      </c>
      <c r="F652" s="178">
        <f t="shared" si="43"/>
        <v>-0.37148527654066854</v>
      </c>
      <c r="H652" s="178">
        <f t="shared" si="44"/>
        <v>1.2859464978579505</v>
      </c>
      <c r="I652" s="178">
        <f t="shared" si="45"/>
        <v>1.337769416269829</v>
      </c>
      <c r="J652" s="178">
        <f t="shared" si="46"/>
        <v>-0.54115417467797988</v>
      </c>
      <c r="K652" s="178">
        <f t="shared" si="47"/>
        <v>1.3221983664660855</v>
      </c>
      <c r="M652" s="178">
        <f t="shared" si="48"/>
        <v>1.8743004469597984</v>
      </c>
      <c r="N652" s="178">
        <f t="shared" si="49"/>
        <v>1.9498336976074271</v>
      </c>
      <c r="O652" s="178">
        <f t="shared" si="50"/>
        <v>-2.7576106488727801</v>
      </c>
      <c r="P652" s="178">
        <f t="shared" si="51"/>
        <v>0.19881189066393484</v>
      </c>
    </row>
    <row r="653" spans="1:16">
      <c r="A653" s="178">
        <f t="shared" si="52"/>
        <v>168</v>
      </c>
      <c r="B653" s="178">
        <f t="shared" si="39"/>
        <v>-0.2125565616700221</v>
      </c>
      <c r="C653" s="178">
        <f t="shared" si="40"/>
        <v>0.81016653702214647</v>
      </c>
      <c r="D653" s="178">
        <f t="shared" si="41"/>
        <v>0.82826613939896199</v>
      </c>
      <c r="E653" s="178">
        <f t="shared" si="42"/>
        <v>-0.67164865828913356</v>
      </c>
      <c r="F653" s="178">
        <f t="shared" si="43"/>
        <v>-0.44261781435562353</v>
      </c>
      <c r="H653" s="178">
        <f t="shared" si="44"/>
        <v>1.1949299104027304</v>
      </c>
      <c r="I653" s="178">
        <f t="shared" si="45"/>
        <v>1.2216253554231435</v>
      </c>
      <c r="J653" s="178">
        <f t="shared" si="46"/>
        <v>-0.45013758722275987</v>
      </c>
      <c r="K653" s="178">
        <f t="shared" si="47"/>
        <v>1.2074493350644906</v>
      </c>
      <c r="M653" s="178">
        <f t="shared" si="48"/>
        <v>1.8193111337203007</v>
      </c>
      <c r="N653" s="178">
        <f t="shared" si="49"/>
        <v>1.8599556266921831</v>
      </c>
      <c r="O653" s="178">
        <f t="shared" si="50"/>
        <v>-2.7026213356332827</v>
      </c>
      <c r="P653" s="178">
        <f t="shared" si="51"/>
        <v>4.8071405164117287E-2</v>
      </c>
    </row>
    <row r="654" spans="1:16">
      <c r="A654" s="178">
        <f t="shared" si="52"/>
        <v>172</v>
      </c>
      <c r="B654" s="178">
        <f t="shared" si="39"/>
        <v>-0.14054083470239176</v>
      </c>
      <c r="C654" s="178">
        <f t="shared" si="40"/>
        <v>0.77497198170249482</v>
      </c>
      <c r="D654" s="178">
        <f t="shared" si="41"/>
        <v>0.78258807505257322</v>
      </c>
      <c r="E654" s="178">
        <f t="shared" si="42"/>
        <v>-0.63645410296948179</v>
      </c>
      <c r="F654" s="178">
        <f t="shared" si="43"/>
        <v>-0.50590881866572435</v>
      </c>
      <c r="H654" s="178">
        <f t="shared" si="44"/>
        <v>1.1158292946969843</v>
      </c>
      <c r="I654" s="178">
        <f t="shared" si="45"/>
        <v>1.1267951880090175</v>
      </c>
      <c r="J654" s="178">
        <f t="shared" si="46"/>
        <v>-0.37103697151701376</v>
      </c>
      <c r="K654" s="178">
        <f t="shared" si="47"/>
        <v>1.1102787223347139</v>
      </c>
      <c r="M654" s="178">
        <f t="shared" si="48"/>
        <v>1.7379860583752802</v>
      </c>
      <c r="N654" s="178">
        <f t="shared" si="49"/>
        <v>1.7550662424003105</v>
      </c>
      <c r="O654" s="178">
        <f t="shared" si="50"/>
        <v>-2.6212962602882621</v>
      </c>
      <c r="P654" s="178">
        <f t="shared" si="51"/>
        <v>-9.437710268227803E-2</v>
      </c>
    </row>
    <row r="655" spans="1:16">
      <c r="A655" s="178">
        <f t="shared" si="52"/>
        <v>176</v>
      </c>
      <c r="B655" s="178">
        <f t="shared" si="39"/>
        <v>-6.9926811943510636E-2</v>
      </c>
      <c r="C655" s="178">
        <f t="shared" si="40"/>
        <v>0.74249798301033265</v>
      </c>
      <c r="D655" s="178">
        <f t="shared" si="41"/>
        <v>0.7443110874103197</v>
      </c>
      <c r="E655" s="178">
        <f t="shared" si="42"/>
        <v>-0.60398010427731963</v>
      </c>
      <c r="F655" s="178">
        <f t="shared" si="43"/>
        <v>-0.56290351101876013</v>
      </c>
      <c r="H655" s="178">
        <f t="shared" si="44"/>
        <v>1.0462578625243306</v>
      </c>
      <c r="I655" s="178">
        <f t="shared" si="45"/>
        <v>1.0488127175912398</v>
      </c>
      <c r="J655" s="178">
        <f t="shared" si="46"/>
        <v>-0.30146553934435982</v>
      </c>
      <c r="K655" s="178">
        <f t="shared" si="47"/>
        <v>1.0266206186697771</v>
      </c>
      <c r="M655" s="178">
        <f t="shared" si="48"/>
        <v>1.6420100197459386</v>
      </c>
      <c r="N655" s="178">
        <f t="shared" si="49"/>
        <v>1.6460196408624215</v>
      </c>
      <c r="O655" s="178">
        <f t="shared" si="50"/>
        <v>-2.5253202216589203</v>
      </c>
      <c r="P655" s="178">
        <f t="shared" si="51"/>
        <v>-0.22381458816732525</v>
      </c>
    </row>
    <row r="656" spans="1:16">
      <c r="A656" s="178">
        <f t="shared" si="52"/>
        <v>180</v>
      </c>
      <c r="B656" s="178">
        <f t="shared" si="39"/>
        <v>-1.22514845490862E-16</v>
      </c>
      <c r="C656" s="178">
        <f t="shared" si="40"/>
        <v>0.71227410840803607</v>
      </c>
      <c r="D656" s="178">
        <f t="shared" si="41"/>
        <v>0.71227410840803607</v>
      </c>
      <c r="E656" s="178">
        <f t="shared" si="42"/>
        <v>-0.57375622967502315</v>
      </c>
      <c r="F656" s="178">
        <f t="shared" si="43"/>
        <v>-0.61482402784515955</v>
      </c>
      <c r="H656" s="178">
        <f t="shared" si="44"/>
        <v>0.9843070576628713</v>
      </c>
      <c r="I656" s="178">
        <f t="shared" si="45"/>
        <v>0.9843070576628713</v>
      </c>
      <c r="J656" s="178">
        <f t="shared" si="46"/>
        <v>-0.23951473448290073</v>
      </c>
      <c r="K656" s="178">
        <f t="shared" si="47"/>
        <v>0.95345914187261882</v>
      </c>
      <c r="M656" s="178">
        <f t="shared" si="48"/>
        <v>1.5402504380225397</v>
      </c>
      <c r="N656" s="178">
        <f t="shared" si="49"/>
        <v>1.5402504380225397</v>
      </c>
      <c r="O656" s="178">
        <f t="shared" si="50"/>
        <v>-2.4235606399355216</v>
      </c>
      <c r="P656" s="178">
        <f t="shared" si="51"/>
        <v>-0.33863511402745949</v>
      </c>
    </row>
    <row r="661" spans="2:8" ht="15">
      <c r="B661" s="166"/>
    </row>
    <row r="670" spans="2:8">
      <c r="H670" s="1"/>
    </row>
    <row r="671" spans="2:8">
      <c r="H671" s="1"/>
    </row>
    <row r="672" spans="2:8">
      <c r="H672" s="1"/>
    </row>
  </sheetData>
  <mergeCells count="3">
    <mergeCell ref="C387:E387"/>
    <mergeCell ref="D451:F451"/>
    <mergeCell ref="D490:F490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611"/>
  <sheetViews>
    <sheetView workbookViewId="0">
      <selection activeCell="G13" sqref="G12:G13"/>
    </sheetView>
  </sheetViews>
  <sheetFormatPr baseColWidth="10" defaultRowHeight="12.75"/>
  <cols>
    <col min="2" max="2" width="21.140625" customWidth="1"/>
    <col min="3" max="3" width="18.85546875" customWidth="1"/>
    <col min="4" max="4" width="16.140625" bestFit="1" customWidth="1"/>
    <col min="7" max="8" width="16.28515625" customWidth="1"/>
    <col min="11" max="11" width="14.42578125" customWidth="1"/>
    <col min="13" max="13" width="16.7109375" customWidth="1"/>
    <col min="19" max="19" width="15" bestFit="1" customWidth="1"/>
    <col min="20" max="20" width="16.140625" bestFit="1" customWidth="1"/>
  </cols>
  <sheetData>
    <row r="1" spans="1:53" s="10" customFormat="1" ht="20.25">
      <c r="A1" s="10" t="s">
        <v>773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5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5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53">
      <c r="A7" s="9" t="s">
        <v>774</v>
      </c>
      <c r="K7" s="21"/>
      <c r="L7" s="21"/>
      <c r="M7" s="21"/>
    </row>
    <row r="8" spans="1:53">
      <c r="A8" s="9"/>
      <c r="K8" s="21"/>
      <c r="L8" s="21"/>
      <c r="M8" s="21"/>
    </row>
    <row r="9" spans="1:53">
      <c r="A9" s="9" t="s">
        <v>775</v>
      </c>
      <c r="K9" s="21"/>
      <c r="L9" s="21"/>
      <c r="M9" s="21"/>
    </row>
    <row r="10" spans="1:5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53">
      <c r="B11" t="s">
        <v>689</v>
      </c>
    </row>
    <row r="12" spans="1:53">
      <c r="B12" s="6" t="s">
        <v>692</v>
      </c>
      <c r="C12" s="6" t="s">
        <v>650</v>
      </c>
    </row>
    <row r="13" spans="1:53">
      <c r="B13" s="178">
        <v>0.05</v>
      </c>
      <c r="C13" s="178">
        <f>_xlfn.CHISQ.INV(1-B13,2)</f>
        <v>5.9914645471079799</v>
      </c>
      <c r="D13" s="177" t="s">
        <v>695</v>
      </c>
      <c r="E13" s="177"/>
    </row>
    <row r="14" spans="1:53" ht="12" customHeight="1"/>
    <row r="15" spans="1:53">
      <c r="B15" s="6" t="s">
        <v>707</v>
      </c>
      <c r="C15" s="6" t="s">
        <v>256</v>
      </c>
      <c r="D15" s="6" t="s">
        <v>708</v>
      </c>
      <c r="E15" s="6" t="s">
        <v>709</v>
      </c>
    </row>
    <row r="16" spans="1:53">
      <c r="B16" s="6">
        <v>1</v>
      </c>
      <c r="C16" s="172">
        <v>17.876000000000001</v>
      </c>
      <c r="D16" s="172">
        <v>2.456</v>
      </c>
      <c r="E16" s="177" t="s">
        <v>668</v>
      </c>
    </row>
    <row r="17" spans="2:5">
      <c r="B17" s="6">
        <f t="shared" ref="B17:B72" si="0">B16+1</f>
        <v>2</v>
      </c>
      <c r="C17" s="172">
        <v>20.8103399134894</v>
      </c>
      <c r="D17" s="172">
        <v>1.653</v>
      </c>
      <c r="E17" s="177" t="s">
        <v>668</v>
      </c>
    </row>
    <row r="18" spans="2:5">
      <c r="B18" s="6">
        <f t="shared" si="0"/>
        <v>3</v>
      </c>
      <c r="C18" s="172">
        <v>17.694314927315698</v>
      </c>
      <c r="D18" s="172">
        <v>0.99025078711056869</v>
      </c>
      <c r="E18" s="177" t="s">
        <v>668</v>
      </c>
    </row>
    <row r="19" spans="2:5">
      <c r="B19" s="6">
        <f t="shared" si="0"/>
        <v>4</v>
      </c>
      <c r="C19" s="172">
        <v>19.3929514400889</v>
      </c>
      <c r="D19" s="172">
        <v>0.71609086605214312</v>
      </c>
      <c r="E19" s="177" t="s">
        <v>668</v>
      </c>
    </row>
    <row r="20" spans="2:5">
      <c r="B20" s="6">
        <f t="shared" si="0"/>
        <v>5</v>
      </c>
      <c r="C20" s="172">
        <v>15.820714863796301</v>
      </c>
      <c r="D20" s="172">
        <v>2.4951215667661915</v>
      </c>
      <c r="E20" s="177" t="s">
        <v>668</v>
      </c>
    </row>
    <row r="21" spans="2:5">
      <c r="B21" s="6">
        <f t="shared" si="0"/>
        <v>6</v>
      </c>
      <c r="C21" s="172">
        <v>18.032032415945</v>
      </c>
      <c r="D21" s="172">
        <v>1.9930000000000001</v>
      </c>
      <c r="E21" s="177" t="s">
        <v>668</v>
      </c>
    </row>
    <row r="22" spans="2:5">
      <c r="B22" s="6">
        <f t="shared" si="0"/>
        <v>7</v>
      </c>
      <c r="C22" s="172">
        <v>14.3304918249652</v>
      </c>
      <c r="D22" s="172">
        <v>2.1999</v>
      </c>
      <c r="E22" s="177" t="s">
        <v>668</v>
      </c>
    </row>
    <row r="23" spans="2:5">
      <c r="B23" s="6">
        <f t="shared" si="0"/>
        <v>8</v>
      </c>
      <c r="C23" s="172">
        <v>14.3676671400261</v>
      </c>
      <c r="D23" s="172">
        <v>2.7601393452104181</v>
      </c>
      <c r="E23" s="177" t="s">
        <v>668</v>
      </c>
    </row>
    <row r="24" spans="2:5">
      <c r="B24" s="6">
        <f t="shared" si="0"/>
        <v>9</v>
      </c>
      <c r="C24" s="172">
        <v>24.492319157259601</v>
      </c>
      <c r="D24" s="172">
        <v>0.6546066380564598</v>
      </c>
      <c r="E24" s="177" t="s">
        <v>668</v>
      </c>
    </row>
    <row r="25" spans="2:5">
      <c r="B25" s="6">
        <f t="shared" si="0"/>
        <v>10</v>
      </c>
      <c r="C25" s="172">
        <v>21.279546515039101</v>
      </c>
      <c r="D25" s="172">
        <v>1.086368078283922</v>
      </c>
      <c r="E25" s="177" t="s">
        <v>668</v>
      </c>
    </row>
    <row r="26" spans="2:5">
      <c r="B26" s="6">
        <f t="shared" si="0"/>
        <v>11</v>
      </c>
      <c r="C26" s="172">
        <v>22.3967648762737</v>
      </c>
      <c r="D26" s="172">
        <v>0.78591964835349126</v>
      </c>
      <c r="E26" s="177" t="s">
        <v>668</v>
      </c>
    </row>
    <row r="27" spans="2:5">
      <c r="B27" s="6">
        <f t="shared" si="0"/>
        <v>12</v>
      </c>
      <c r="C27" s="172">
        <v>21.030810943724902</v>
      </c>
      <c r="D27" s="172">
        <v>1.0529364977079734</v>
      </c>
      <c r="E27" s="177" t="s">
        <v>668</v>
      </c>
    </row>
    <row r="28" spans="2:5">
      <c r="B28" s="6">
        <f t="shared" si="0"/>
        <v>13</v>
      </c>
      <c r="C28" s="172">
        <v>20.878015795945</v>
      </c>
      <c r="D28" s="172">
        <v>0.66305495407967063</v>
      </c>
      <c r="E28" s="177" t="s">
        <v>668</v>
      </c>
    </row>
    <row r="29" spans="2:5">
      <c r="B29" s="6">
        <f t="shared" si="0"/>
        <v>14</v>
      </c>
      <c r="C29" s="172">
        <v>21.492581498487699</v>
      </c>
      <c r="D29" s="172">
        <v>1.3650151158327173</v>
      </c>
      <c r="E29" s="177" t="s">
        <v>668</v>
      </c>
    </row>
    <row r="30" spans="2:5">
      <c r="B30" s="6">
        <f t="shared" si="0"/>
        <v>15</v>
      </c>
      <c r="C30" s="172">
        <v>21.138828688829602</v>
      </c>
      <c r="D30" s="172">
        <v>1.0235932390041083</v>
      </c>
      <c r="E30" s="177" t="s">
        <v>668</v>
      </c>
    </row>
    <row r="31" spans="2:5">
      <c r="B31" s="6">
        <f t="shared" si="0"/>
        <v>16</v>
      </c>
      <c r="C31" s="172">
        <v>21.395341085245299</v>
      </c>
      <c r="D31" s="172">
        <v>1.1605164387646234</v>
      </c>
      <c r="E31" s="177" t="s">
        <v>668</v>
      </c>
    </row>
    <row r="32" spans="2:5">
      <c r="B32" s="6">
        <f t="shared" si="0"/>
        <v>17</v>
      </c>
      <c r="C32" s="172">
        <v>21.2995106952818</v>
      </c>
      <c r="D32" s="172">
        <v>0.85138844563348581</v>
      </c>
      <c r="E32" s="177" t="s">
        <v>668</v>
      </c>
    </row>
    <row r="33" spans="2:5">
      <c r="B33" s="6">
        <f t="shared" si="0"/>
        <v>18</v>
      </c>
      <c r="C33" s="172">
        <v>22.349127905198099</v>
      </c>
      <c r="D33" s="172">
        <v>0.78028381055389029</v>
      </c>
      <c r="E33" s="177" t="s">
        <v>668</v>
      </c>
    </row>
    <row r="34" spans="2:5">
      <c r="B34" s="6">
        <f t="shared" si="0"/>
        <v>19</v>
      </c>
      <c r="C34" s="172">
        <v>21.619082436531599</v>
      </c>
      <c r="D34" s="172">
        <v>0.91464124697076754</v>
      </c>
      <c r="E34" s="177" t="s">
        <v>668</v>
      </c>
    </row>
    <row r="35" spans="2:5">
      <c r="B35" s="6">
        <f t="shared" si="0"/>
        <v>20</v>
      </c>
      <c r="C35" s="172">
        <v>22.957691848466801</v>
      </c>
      <c r="D35" s="172">
        <v>3.2786673075158701</v>
      </c>
      <c r="E35" s="177" t="s">
        <v>669</v>
      </c>
    </row>
    <row r="36" spans="2:5">
      <c r="B36" s="6">
        <f t="shared" si="0"/>
        <v>21</v>
      </c>
      <c r="C36" s="172">
        <v>23.468435025130699</v>
      </c>
      <c r="D36" s="172">
        <v>2.5700063419822872</v>
      </c>
      <c r="E36" s="177" t="s">
        <v>669</v>
      </c>
    </row>
    <row r="37" spans="2:5">
      <c r="B37" s="6">
        <f t="shared" si="0"/>
        <v>22</v>
      </c>
      <c r="C37" s="172">
        <v>25.890106145797599</v>
      </c>
      <c r="D37" s="172">
        <v>2.1875697521846873</v>
      </c>
      <c r="E37" s="177" t="s">
        <v>669</v>
      </c>
    </row>
    <row r="38" spans="2:5">
      <c r="B38" s="6">
        <f t="shared" si="0"/>
        <v>23</v>
      </c>
      <c r="C38" s="172">
        <v>29.661506266264201</v>
      </c>
      <c r="D38" s="172">
        <v>1.9930000000000001</v>
      </c>
      <c r="E38" s="177" t="s">
        <v>669</v>
      </c>
    </row>
    <row r="39" spans="2:5">
      <c r="B39" s="6">
        <f t="shared" si="0"/>
        <v>24</v>
      </c>
      <c r="C39" s="172">
        <v>17.4810872488355</v>
      </c>
      <c r="D39" s="172">
        <v>3.7976325768294572</v>
      </c>
      <c r="E39" s="177" t="s">
        <v>669</v>
      </c>
    </row>
    <row r="40" spans="2:5">
      <c r="B40" s="6">
        <f t="shared" si="0"/>
        <v>25</v>
      </c>
      <c r="C40" s="172">
        <v>13.377998976286509</v>
      </c>
      <c r="D40" s="172">
        <v>4.2917481631029695</v>
      </c>
      <c r="E40" s="177" t="s">
        <v>669</v>
      </c>
    </row>
    <row r="41" spans="2:5">
      <c r="B41" s="6">
        <f t="shared" si="0"/>
        <v>26</v>
      </c>
      <c r="C41" s="172">
        <v>14.952697230726701</v>
      </c>
      <c r="D41" s="172">
        <v>4.6763853940906399</v>
      </c>
      <c r="E41" s="177" t="s">
        <v>669</v>
      </c>
    </row>
    <row r="42" spans="2:5">
      <c r="B42" s="6">
        <f t="shared" si="0"/>
        <v>27</v>
      </c>
      <c r="C42" s="172">
        <v>20.869693677314402</v>
      </c>
      <c r="D42" s="172">
        <v>3.7526707058847313</v>
      </c>
      <c r="E42" s="177" t="s">
        <v>669</v>
      </c>
    </row>
    <row r="43" spans="2:5">
      <c r="B43" s="6">
        <f t="shared" si="0"/>
        <v>28</v>
      </c>
      <c r="C43" s="172">
        <v>14.778989902436599</v>
      </c>
      <c r="D43" s="172">
        <v>4.0053157395703147</v>
      </c>
      <c r="E43" s="177" t="s">
        <v>669</v>
      </c>
    </row>
    <row r="44" spans="2:5">
      <c r="B44" s="6">
        <f t="shared" si="0"/>
        <v>29</v>
      </c>
      <c r="C44" s="172">
        <v>20.911065507415099</v>
      </c>
      <c r="D44" s="172">
        <v>2.3789819632957814</v>
      </c>
      <c r="E44" s="177" t="s">
        <v>669</v>
      </c>
    </row>
    <row r="45" spans="2:5">
      <c r="B45" s="6">
        <f t="shared" si="0"/>
        <v>30</v>
      </c>
      <c r="C45" s="172">
        <v>23.051352696916702</v>
      </c>
      <c r="D45" s="172">
        <v>2.0358583104884271</v>
      </c>
      <c r="E45" s="177" t="s">
        <v>669</v>
      </c>
    </row>
    <row r="46" spans="2:5">
      <c r="B46" s="6">
        <f t="shared" si="0"/>
        <v>31</v>
      </c>
      <c r="C46" s="172">
        <v>25.792804322451801</v>
      </c>
      <c r="D46" s="172">
        <v>1.7991002722407445</v>
      </c>
      <c r="E46" s="177" t="s">
        <v>669</v>
      </c>
    </row>
    <row r="47" spans="2:5">
      <c r="B47" s="6">
        <f t="shared" si="0"/>
        <v>32</v>
      </c>
      <c r="C47" s="172">
        <v>26.989364763111499</v>
      </c>
      <c r="D47" s="172">
        <v>2.0260966143560188</v>
      </c>
      <c r="E47" s="177" t="s">
        <v>669</v>
      </c>
    </row>
    <row r="48" spans="2:5">
      <c r="B48" s="6">
        <f t="shared" si="0"/>
        <v>33</v>
      </c>
      <c r="C48" s="172">
        <v>26.3934318818492</v>
      </c>
      <c r="D48" s="172">
        <v>2.4932397650206299</v>
      </c>
      <c r="E48" s="177" t="s">
        <v>669</v>
      </c>
    </row>
    <row r="49" spans="2:5">
      <c r="B49" s="6">
        <f t="shared" si="0"/>
        <v>34</v>
      </c>
      <c r="C49" s="172">
        <v>27.141329779307402</v>
      </c>
      <c r="D49" s="172">
        <v>2.2064087535448951</v>
      </c>
      <c r="E49" s="177" t="s">
        <v>669</v>
      </c>
    </row>
    <row r="50" spans="2:5">
      <c r="B50" s="6">
        <f t="shared" si="0"/>
        <v>35</v>
      </c>
      <c r="C50" s="172">
        <v>26.465379096851599</v>
      </c>
      <c r="D50" s="172">
        <v>2.2194727487159795</v>
      </c>
      <c r="E50" s="177" t="s">
        <v>669</v>
      </c>
    </row>
    <row r="51" spans="2:5">
      <c r="B51" s="6">
        <f t="shared" si="0"/>
        <v>36</v>
      </c>
      <c r="C51" s="172">
        <v>25.239641678711699</v>
      </c>
      <c r="D51" s="172">
        <v>2.3895416252504083</v>
      </c>
      <c r="E51" s="177" t="s">
        <v>669</v>
      </c>
    </row>
    <row r="52" spans="2:5">
      <c r="B52" s="6">
        <f t="shared" si="0"/>
        <v>37</v>
      </c>
      <c r="C52" s="172">
        <v>25.4629356550689</v>
      </c>
      <c r="D52" s="172">
        <v>2.8886945972626346</v>
      </c>
      <c r="E52" s="177" t="s">
        <v>669</v>
      </c>
    </row>
    <row r="53" spans="2:5">
      <c r="B53" s="6">
        <f t="shared" si="0"/>
        <v>38</v>
      </c>
      <c r="C53" s="172">
        <v>27.510572666276399</v>
      </c>
      <c r="D53" s="172">
        <v>2.302703926093661</v>
      </c>
      <c r="E53" s="177" t="s">
        <v>669</v>
      </c>
    </row>
    <row r="54" spans="2:5">
      <c r="B54" s="6">
        <f t="shared" si="0"/>
        <v>39</v>
      </c>
      <c r="C54" s="172">
        <v>12.8066695404329</v>
      </c>
      <c r="D54" s="172">
        <v>1.5812167060681355</v>
      </c>
      <c r="E54" s="177" t="s">
        <v>670</v>
      </c>
    </row>
    <row r="55" spans="2:5">
      <c r="B55" s="6">
        <f t="shared" si="0"/>
        <v>40</v>
      </c>
      <c r="C55" s="172">
        <v>14.449667551600701</v>
      </c>
      <c r="D55" s="172">
        <v>1.4860824966264592</v>
      </c>
      <c r="E55" s="177" t="s">
        <v>670</v>
      </c>
    </row>
    <row r="56" spans="2:5">
      <c r="B56" s="6">
        <f t="shared" si="0"/>
        <v>41</v>
      </c>
      <c r="C56" s="172">
        <v>17.750322581925701</v>
      </c>
      <c r="D56" s="172">
        <v>1.5335002808036511</v>
      </c>
      <c r="E56" s="177" t="s">
        <v>670</v>
      </c>
    </row>
    <row r="57" spans="2:5">
      <c r="B57" s="6">
        <f t="shared" si="0"/>
        <v>42</v>
      </c>
      <c r="C57" s="172">
        <v>20.371762093735001</v>
      </c>
      <c r="D57" s="172">
        <v>1.5972645940202717</v>
      </c>
      <c r="E57" s="177" t="s">
        <v>670</v>
      </c>
    </row>
    <row r="58" spans="2:5">
      <c r="B58" s="6">
        <f t="shared" si="0"/>
        <v>43</v>
      </c>
      <c r="C58" s="172">
        <v>11.831096204919501</v>
      </c>
      <c r="D58" s="172">
        <v>1.2402455826246845</v>
      </c>
      <c r="E58" s="177" t="s">
        <v>670</v>
      </c>
    </row>
    <row r="59" spans="2:5">
      <c r="B59" s="6">
        <f t="shared" si="0"/>
        <v>44</v>
      </c>
      <c r="C59" s="172">
        <v>7.6466240745915997</v>
      </c>
      <c r="D59" s="172">
        <v>2.0389381098016366</v>
      </c>
      <c r="E59" s="177" t="s">
        <v>670</v>
      </c>
    </row>
    <row r="60" spans="2:5">
      <c r="B60" s="6">
        <f t="shared" si="0"/>
        <v>45</v>
      </c>
      <c r="C60" s="172">
        <v>5.5033107921515398</v>
      </c>
      <c r="D60" s="172">
        <v>2.122563604941031</v>
      </c>
      <c r="E60" s="177" t="s">
        <v>670</v>
      </c>
    </row>
    <row r="61" spans="2:5">
      <c r="B61" s="6">
        <f t="shared" si="0"/>
        <v>46</v>
      </c>
      <c r="C61" s="172">
        <v>9.0340000000000007</v>
      </c>
      <c r="D61" s="172">
        <v>1.923</v>
      </c>
      <c r="E61" s="177" t="s">
        <v>670</v>
      </c>
    </row>
    <row r="62" spans="2:5">
      <c r="B62" s="6">
        <f t="shared" si="0"/>
        <v>47</v>
      </c>
      <c r="C62" s="172">
        <v>9.6329252956793994</v>
      </c>
      <c r="D62" s="172">
        <v>2.3314230677928376</v>
      </c>
      <c r="E62" s="177" t="s">
        <v>670</v>
      </c>
    </row>
    <row r="63" spans="2:5">
      <c r="B63" s="6">
        <f t="shared" si="0"/>
        <v>48</v>
      </c>
      <c r="C63" s="172">
        <v>15.365418587720502</v>
      </c>
      <c r="D63" s="172">
        <v>1.9600587510079703</v>
      </c>
      <c r="E63" s="177" t="s">
        <v>670</v>
      </c>
    </row>
    <row r="64" spans="2:5">
      <c r="B64" s="6">
        <f t="shared" si="0"/>
        <v>49</v>
      </c>
      <c r="C64" s="172">
        <v>17.8432823351929</v>
      </c>
      <c r="D64" s="172">
        <v>1.4835008956607858</v>
      </c>
      <c r="E64" s="177" t="s">
        <v>670</v>
      </c>
    </row>
    <row r="65" spans="1:13">
      <c r="B65" s="6">
        <f t="shared" si="0"/>
        <v>50</v>
      </c>
      <c r="C65" s="172">
        <v>15.995980506880102</v>
      </c>
      <c r="D65" s="172">
        <v>1.9747477487688423</v>
      </c>
      <c r="E65" s="177" t="s">
        <v>670</v>
      </c>
    </row>
    <row r="66" spans="1:13">
      <c r="B66" s="6">
        <f t="shared" si="0"/>
        <v>51</v>
      </c>
      <c r="C66" s="172">
        <v>18.376018111738102</v>
      </c>
      <c r="D66" s="172">
        <v>0.97686927120331679</v>
      </c>
      <c r="E66" s="177" t="s">
        <v>670</v>
      </c>
    </row>
    <row r="67" spans="1:13">
      <c r="B67" s="6">
        <f t="shared" si="0"/>
        <v>52</v>
      </c>
      <c r="C67" s="172">
        <v>14.8623944616118</v>
      </c>
      <c r="D67" s="172">
        <v>1.1567031024761172</v>
      </c>
      <c r="E67" s="177" t="s">
        <v>670</v>
      </c>
    </row>
    <row r="68" spans="1:13">
      <c r="B68" s="6">
        <f t="shared" si="0"/>
        <v>53</v>
      </c>
      <c r="C68" s="172">
        <v>15.563550283104199</v>
      </c>
      <c r="D68" s="172">
        <v>1.0837545025233131</v>
      </c>
      <c r="E68" s="177" t="s">
        <v>670</v>
      </c>
    </row>
    <row r="69" spans="1:13">
      <c r="B69" s="6">
        <f t="shared" si="0"/>
        <v>54</v>
      </c>
      <c r="C69" s="172">
        <v>15.060202072217201</v>
      </c>
      <c r="D69" s="172">
        <v>2.1489866661507051</v>
      </c>
      <c r="E69" s="177" t="s">
        <v>670</v>
      </c>
    </row>
    <row r="70" spans="1:13">
      <c r="B70" s="6">
        <f t="shared" si="0"/>
        <v>55</v>
      </c>
      <c r="C70" s="172">
        <v>14.728847168249601</v>
      </c>
      <c r="D70" s="172">
        <v>1.4684815222978076</v>
      </c>
      <c r="E70" s="177" t="s">
        <v>670</v>
      </c>
    </row>
    <row r="71" spans="1:13">
      <c r="B71" s="6">
        <f t="shared" si="0"/>
        <v>56</v>
      </c>
      <c r="C71" s="172">
        <v>18.346878659338799</v>
      </c>
      <c r="D71" s="172">
        <v>1.7237418786072713</v>
      </c>
      <c r="E71" s="177" t="s">
        <v>670</v>
      </c>
    </row>
    <row r="72" spans="1:13">
      <c r="B72" s="6">
        <f t="shared" si="0"/>
        <v>57</v>
      </c>
      <c r="C72" s="172">
        <v>20.222999999999999</v>
      </c>
      <c r="D72" s="172">
        <v>0.64743174175156937</v>
      </c>
      <c r="E72" s="177" t="s">
        <v>670</v>
      </c>
    </row>
    <row r="76" spans="1:13" ht="15.75">
      <c r="A76" s="15" t="s">
        <v>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9" spans="1:13">
      <c r="A79" s="24" t="s">
        <v>720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2" spans="1:13">
      <c r="B82" s="6" t="s">
        <v>328</v>
      </c>
      <c r="C82" s="8">
        <f>AVERAGE(C16:C72)</f>
        <v>19.148850470416697</v>
      </c>
      <c r="D82" s="8">
        <f>AVERAGE(D16:D72)</f>
        <v>1.9188321361217013</v>
      </c>
    </row>
    <row r="83" spans="1:13">
      <c r="B83" s="6" t="s">
        <v>396</v>
      </c>
      <c r="C83" s="8">
        <f>_xlfn.STDEV.P(C16:C72)</f>
        <v>5.2694254923606607</v>
      </c>
      <c r="D83" s="8">
        <f>_xlfn.STDEV.P(D16:D72)</f>
        <v>0.92931887536050362</v>
      </c>
    </row>
    <row r="87" spans="1:13">
      <c r="A87" s="24" t="s">
        <v>564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90" spans="1:13">
      <c r="B90" s="6" t="s">
        <v>707</v>
      </c>
      <c r="C90" s="6" t="s">
        <v>710</v>
      </c>
      <c r="D90" s="6" t="s">
        <v>711</v>
      </c>
      <c r="E90" s="6" t="s">
        <v>709</v>
      </c>
    </row>
    <row r="91" spans="1:13">
      <c r="B91" s="6">
        <v>1</v>
      </c>
      <c r="C91" s="8">
        <f t="shared" ref="C91:D106" si="1">(C16-C$82)/C$83</f>
        <v>-0.24155393643235079</v>
      </c>
      <c r="D91" s="8">
        <f t="shared" si="1"/>
        <v>0.57802319324453533</v>
      </c>
      <c r="E91" s="177" t="s">
        <v>668</v>
      </c>
    </row>
    <row r="92" spans="1:13">
      <c r="B92" s="6">
        <f t="shared" ref="B92:B147" si="2">B91+1</f>
        <v>2</v>
      </c>
      <c r="C92" s="8">
        <f t="shared" si="1"/>
        <v>0.3153075122670288</v>
      </c>
      <c r="D92" s="8">
        <f t="shared" si="1"/>
        <v>-0.28605050771036916</v>
      </c>
      <c r="E92" s="177" t="s">
        <v>668</v>
      </c>
    </row>
    <row r="93" spans="1:13">
      <c r="B93" s="6">
        <f t="shared" si="2"/>
        <v>3</v>
      </c>
      <c r="C93" s="8">
        <f t="shared" si="1"/>
        <v>-0.27603304102310749</v>
      </c>
      <c r="D93" s="8">
        <f t="shared" si="1"/>
        <v>-0.99920637967340875</v>
      </c>
      <c r="E93" s="177" t="s">
        <v>668</v>
      </c>
    </row>
    <row r="94" spans="1:13">
      <c r="B94" s="6">
        <f t="shared" si="2"/>
        <v>4</v>
      </c>
      <c r="C94" s="8">
        <f t="shared" si="1"/>
        <v>4.6324019577862578E-2</v>
      </c>
      <c r="D94" s="8">
        <f t="shared" si="1"/>
        <v>-1.2942180579330083</v>
      </c>
      <c r="E94" s="177" t="s">
        <v>668</v>
      </c>
    </row>
    <row r="95" spans="1:13">
      <c r="B95" s="6">
        <f t="shared" si="2"/>
        <v>5</v>
      </c>
      <c r="C95" s="8">
        <f t="shared" si="1"/>
        <v>-0.63159363605109409</v>
      </c>
      <c r="D95" s="8">
        <f t="shared" si="1"/>
        <v>0.62012022560171776</v>
      </c>
      <c r="E95" s="177" t="s">
        <v>668</v>
      </c>
    </row>
    <row r="96" spans="1:13">
      <c r="B96" s="6">
        <f t="shared" si="2"/>
        <v>6</v>
      </c>
      <c r="C96" s="8">
        <f t="shared" si="1"/>
        <v>-0.21194303934855926</v>
      </c>
      <c r="D96" s="8">
        <f t="shared" si="1"/>
        <v>7.9808842631682683E-2</v>
      </c>
      <c r="E96" s="177" t="s">
        <v>668</v>
      </c>
    </row>
    <row r="97" spans="2:5">
      <c r="B97" s="6">
        <f t="shared" si="2"/>
        <v>7</v>
      </c>
      <c r="C97" s="8">
        <f t="shared" si="1"/>
        <v>-0.91439923620457342</v>
      </c>
      <c r="D97" s="8">
        <f t="shared" si="1"/>
        <v>0.30244501788394873</v>
      </c>
      <c r="E97" s="177" t="s">
        <v>668</v>
      </c>
    </row>
    <row r="98" spans="2:5">
      <c r="B98" s="6">
        <f t="shared" si="2"/>
        <v>8</v>
      </c>
      <c r="C98" s="8">
        <f t="shared" si="1"/>
        <v>-0.90734432763535766</v>
      </c>
      <c r="D98" s="8">
        <f t="shared" si="1"/>
        <v>0.90529443810377241</v>
      </c>
      <c r="E98" s="177" t="s">
        <v>668</v>
      </c>
    </row>
    <row r="99" spans="2:5">
      <c r="B99" s="6">
        <f t="shared" si="2"/>
        <v>9</v>
      </c>
      <c r="C99" s="8">
        <f t="shared" si="1"/>
        <v>1.0140514738446511</v>
      </c>
      <c r="D99" s="8">
        <f t="shared" si="1"/>
        <v>-1.3603785864941356</v>
      </c>
      <c r="E99" s="177" t="s">
        <v>668</v>
      </c>
    </row>
    <row r="100" spans="2:5">
      <c r="B100" s="6">
        <f t="shared" si="2"/>
        <v>10</v>
      </c>
      <c r="C100" s="8">
        <f t="shared" si="1"/>
        <v>0.40435073002007077</v>
      </c>
      <c r="D100" s="8">
        <f t="shared" si="1"/>
        <v>-0.89577870406952387</v>
      </c>
      <c r="E100" s="177" t="s">
        <v>668</v>
      </c>
    </row>
    <row r="101" spans="2:5">
      <c r="B101" s="6">
        <f t="shared" si="2"/>
        <v>11</v>
      </c>
      <c r="C101" s="8">
        <f t="shared" si="1"/>
        <v>0.61636973718779409</v>
      </c>
      <c r="D101" s="8">
        <f t="shared" si="1"/>
        <v>-1.2190783140272792</v>
      </c>
      <c r="E101" s="177" t="s">
        <v>668</v>
      </c>
    </row>
    <row r="102" spans="2:5">
      <c r="B102" s="6">
        <f t="shared" si="2"/>
        <v>12</v>
      </c>
      <c r="C102" s="8">
        <f t="shared" si="1"/>
        <v>0.35714718350920283</v>
      </c>
      <c r="D102" s="8">
        <f t="shared" si="1"/>
        <v>-0.9317529874531254</v>
      </c>
      <c r="E102" s="177" t="s">
        <v>668</v>
      </c>
    </row>
    <row r="103" spans="2:5">
      <c r="B103" s="6">
        <f t="shared" si="2"/>
        <v>13</v>
      </c>
      <c r="C103" s="8">
        <f t="shared" si="1"/>
        <v>0.32815063578281106</v>
      </c>
      <c r="D103" s="8">
        <f t="shared" si="1"/>
        <v>-1.3512877176360876</v>
      </c>
      <c r="E103" s="177" t="s">
        <v>668</v>
      </c>
    </row>
    <row r="104" spans="2:5">
      <c r="B104" s="6">
        <f t="shared" si="2"/>
        <v>14</v>
      </c>
      <c r="C104" s="8">
        <f t="shared" si="1"/>
        <v>0.44477923285352855</v>
      </c>
      <c r="D104" s="8">
        <f t="shared" si="1"/>
        <v>-0.59593863309205464</v>
      </c>
      <c r="E104" s="177" t="s">
        <v>668</v>
      </c>
    </row>
    <row r="105" spans="2:5">
      <c r="B105" s="6">
        <f t="shared" si="2"/>
        <v>15</v>
      </c>
      <c r="C105" s="8">
        <f t="shared" si="1"/>
        <v>0.37764614402421509</v>
      </c>
      <c r="D105" s="8">
        <f t="shared" si="1"/>
        <v>-0.96332800382463968</v>
      </c>
      <c r="E105" s="177" t="s">
        <v>668</v>
      </c>
    </row>
    <row r="106" spans="2:5">
      <c r="B106" s="6">
        <f t="shared" si="2"/>
        <v>16</v>
      </c>
      <c r="C106" s="8">
        <f t="shared" si="1"/>
        <v>0.42632552981068755</v>
      </c>
      <c r="D106" s="8">
        <f t="shared" si="1"/>
        <v>-0.81599084820364842</v>
      </c>
      <c r="E106" s="177" t="s">
        <v>668</v>
      </c>
    </row>
    <row r="107" spans="2:5">
      <c r="B107" s="6">
        <f t="shared" si="2"/>
        <v>17</v>
      </c>
      <c r="C107" s="8">
        <f t="shared" ref="C107:D122" si="3">(C32-C$82)/C$83</f>
        <v>0.40813941253804958</v>
      </c>
      <c r="D107" s="8">
        <f t="shared" si="3"/>
        <v>-1.1486301621433548</v>
      </c>
      <c r="E107" s="177" t="s">
        <v>668</v>
      </c>
    </row>
    <row r="108" spans="2:5">
      <c r="B108" s="6">
        <f t="shared" si="2"/>
        <v>18</v>
      </c>
      <c r="C108" s="8">
        <f t="shared" si="3"/>
        <v>0.60732947821750161</v>
      </c>
      <c r="D108" s="8">
        <f t="shared" si="3"/>
        <v>-1.2251427962507946</v>
      </c>
      <c r="E108" s="177" t="s">
        <v>668</v>
      </c>
    </row>
    <row r="109" spans="2:5">
      <c r="B109" s="6">
        <f t="shared" si="2"/>
        <v>19</v>
      </c>
      <c r="C109" s="8">
        <f t="shared" si="3"/>
        <v>0.46878582298888483</v>
      </c>
      <c r="D109" s="8">
        <f t="shared" si="3"/>
        <v>-1.0805665480122584</v>
      </c>
      <c r="E109" s="177" t="s">
        <v>668</v>
      </c>
    </row>
    <row r="110" spans="2:5">
      <c r="B110" s="6">
        <f t="shared" si="2"/>
        <v>20</v>
      </c>
      <c r="C110" s="8">
        <f t="shared" si="3"/>
        <v>0.72281909737066485</v>
      </c>
      <c r="D110" s="8">
        <f t="shared" si="3"/>
        <v>1.4632600364074799</v>
      </c>
      <c r="E110" s="177" t="s">
        <v>669</v>
      </c>
    </row>
    <row r="111" spans="2:5">
      <c r="B111" s="6">
        <f t="shared" si="2"/>
        <v>21</v>
      </c>
      <c r="C111" s="8">
        <f t="shared" si="3"/>
        <v>0.81974487749685632</v>
      </c>
      <c r="D111" s="8">
        <f t="shared" si="3"/>
        <v>0.70070050563428055</v>
      </c>
      <c r="E111" s="177" t="s">
        <v>669</v>
      </c>
    </row>
    <row r="112" spans="2:5">
      <c r="B112" s="6">
        <f t="shared" si="2"/>
        <v>22</v>
      </c>
      <c r="C112" s="8">
        <f t="shared" si="3"/>
        <v>1.2793151141721284</v>
      </c>
      <c r="D112" s="8">
        <f t="shared" si="3"/>
        <v>0.28917696948610522</v>
      </c>
      <c r="E112" s="177" t="s">
        <v>669</v>
      </c>
    </row>
    <row r="113" spans="2:5">
      <c r="B113" s="6">
        <f t="shared" si="2"/>
        <v>23</v>
      </c>
      <c r="C113" s="8">
        <f t="shared" si="3"/>
        <v>1.9950288339949405</v>
      </c>
      <c r="D113" s="8">
        <f t="shared" si="3"/>
        <v>7.9808842631682683E-2</v>
      </c>
      <c r="E113" s="177" t="s">
        <v>669</v>
      </c>
    </row>
    <row r="114" spans="2:5">
      <c r="B114" s="6">
        <f t="shared" si="2"/>
        <v>24</v>
      </c>
      <c r="C114" s="8">
        <f t="shared" si="3"/>
        <v>-0.31649811236519682</v>
      </c>
      <c r="D114" s="8">
        <f t="shared" si="3"/>
        <v>2.0216962019402942</v>
      </c>
      <c r="E114" s="177" t="s">
        <v>669</v>
      </c>
    </row>
    <row r="115" spans="2:5">
      <c r="B115" s="6">
        <f t="shared" si="2"/>
        <v>25</v>
      </c>
      <c r="C115" s="8">
        <f t="shared" si="3"/>
        <v>-1.0951576224953685</v>
      </c>
      <c r="D115" s="8">
        <f t="shared" si="3"/>
        <v>2.5533926942576741</v>
      </c>
      <c r="E115" s="177" t="s">
        <v>669</v>
      </c>
    </row>
    <row r="116" spans="2:5">
      <c r="B116" s="6">
        <f t="shared" si="2"/>
        <v>26</v>
      </c>
      <c r="C116" s="8">
        <f t="shared" si="3"/>
        <v>-0.79632082202763121</v>
      </c>
      <c r="D116" s="8">
        <f t="shared" si="3"/>
        <v>2.9672842455709527</v>
      </c>
      <c r="E116" s="177" t="s">
        <v>669</v>
      </c>
    </row>
    <row r="117" spans="2:5">
      <c r="B117" s="6">
        <f t="shared" si="2"/>
        <v>27</v>
      </c>
      <c r="C117" s="8">
        <f t="shared" si="3"/>
        <v>0.32657131396819133</v>
      </c>
      <c r="D117" s="8">
        <f t="shared" si="3"/>
        <v>1.973314669899116</v>
      </c>
      <c r="E117" s="177" t="s">
        <v>669</v>
      </c>
    </row>
    <row r="118" spans="2:5">
      <c r="B118" s="6">
        <f t="shared" si="2"/>
        <v>28</v>
      </c>
      <c r="C118" s="8">
        <f t="shared" si="3"/>
        <v>-0.82928595808315242</v>
      </c>
      <c r="D118" s="8">
        <f t="shared" si="3"/>
        <v>2.2451751048736845</v>
      </c>
      <c r="E118" s="177" t="s">
        <v>669</v>
      </c>
    </row>
    <row r="119" spans="2:5">
      <c r="B119" s="6">
        <f t="shared" si="2"/>
        <v>29</v>
      </c>
      <c r="C119" s="8">
        <f t="shared" si="3"/>
        <v>0.33442261201969165</v>
      </c>
      <c r="D119" s="8">
        <f t="shared" si="3"/>
        <v>0.49514740244093031</v>
      </c>
      <c r="E119" s="177" t="s">
        <v>669</v>
      </c>
    </row>
    <row r="120" spans="2:5">
      <c r="B120" s="6">
        <f t="shared" si="2"/>
        <v>30</v>
      </c>
      <c r="C120" s="8">
        <f t="shared" si="3"/>
        <v>0.7405934920529097</v>
      </c>
      <c r="D120" s="8">
        <f t="shared" si="3"/>
        <v>0.12592682390242932</v>
      </c>
      <c r="E120" s="177" t="s">
        <v>669</v>
      </c>
    </row>
    <row r="121" spans="2:5">
      <c r="B121" s="6">
        <f t="shared" si="2"/>
        <v>31</v>
      </c>
      <c r="C121" s="8">
        <f t="shared" si="3"/>
        <v>1.2608497570877817</v>
      </c>
      <c r="D121" s="8">
        <f t="shared" si="3"/>
        <v>-0.12883829980802888</v>
      </c>
      <c r="E121" s="177" t="s">
        <v>669</v>
      </c>
    </row>
    <row r="122" spans="2:5">
      <c r="B122" s="6">
        <f t="shared" si="2"/>
        <v>32</v>
      </c>
      <c r="C122" s="8">
        <f t="shared" si="3"/>
        <v>1.4879258287381751</v>
      </c>
      <c r="D122" s="8">
        <f t="shared" si="3"/>
        <v>0.11542268329878397</v>
      </c>
      <c r="E122" s="177" t="s">
        <v>669</v>
      </c>
    </row>
    <row r="123" spans="2:5">
      <c r="B123" s="6">
        <f t="shared" si="2"/>
        <v>33</v>
      </c>
      <c r="C123" s="8">
        <f t="shared" ref="C123:D138" si="4">(C48-C$82)/C$83</f>
        <v>1.3748332568579478</v>
      </c>
      <c r="D123" s="8">
        <f t="shared" si="4"/>
        <v>0.61809529982494227</v>
      </c>
      <c r="E123" s="177" t="s">
        <v>669</v>
      </c>
    </row>
    <row r="124" spans="2:5">
      <c r="B124" s="6">
        <f t="shared" si="2"/>
        <v>34</v>
      </c>
      <c r="C124" s="8">
        <f t="shared" si="4"/>
        <v>1.5167648390660018</v>
      </c>
      <c r="D124" s="8">
        <f t="shared" si="4"/>
        <v>0.30944880712945416</v>
      </c>
      <c r="E124" s="177" t="s">
        <v>669</v>
      </c>
    </row>
    <row r="125" spans="2:5">
      <c r="B125" s="6">
        <f t="shared" si="2"/>
        <v>35</v>
      </c>
      <c r="C125" s="8">
        <f t="shared" si="4"/>
        <v>1.3884869682742502</v>
      </c>
      <c r="D125" s="8">
        <f t="shared" si="4"/>
        <v>0.32350640944170317</v>
      </c>
      <c r="E125" s="177" t="s">
        <v>669</v>
      </c>
    </row>
    <row r="126" spans="2:5">
      <c r="B126" s="6">
        <f t="shared" si="2"/>
        <v>36</v>
      </c>
      <c r="C126" s="8">
        <f t="shared" si="4"/>
        <v>1.1558738646414328</v>
      </c>
      <c r="D126" s="8">
        <f t="shared" si="4"/>
        <v>0.50651019968372879</v>
      </c>
      <c r="E126" s="177" t="s">
        <v>669</v>
      </c>
    </row>
    <row r="127" spans="2:5">
      <c r="B127" s="6">
        <f t="shared" si="2"/>
        <v>37</v>
      </c>
      <c r="C127" s="8">
        <f t="shared" si="4"/>
        <v>1.1982492576858779</v>
      </c>
      <c r="D127" s="8">
        <f t="shared" si="4"/>
        <v>1.0436272057475449</v>
      </c>
      <c r="E127" s="177" t="s">
        <v>669</v>
      </c>
    </row>
    <row r="128" spans="2:5">
      <c r="B128" s="6">
        <f t="shared" si="2"/>
        <v>38</v>
      </c>
      <c r="C128" s="8">
        <f t="shared" si="4"/>
        <v>1.5868375419639376</v>
      </c>
      <c r="D128" s="8">
        <f t="shared" si="4"/>
        <v>0.41306789321700499</v>
      </c>
      <c r="E128" s="177" t="s">
        <v>669</v>
      </c>
    </row>
    <row r="129" spans="2:5">
      <c r="B129" s="6">
        <f t="shared" si="2"/>
        <v>39</v>
      </c>
      <c r="C129" s="8">
        <f t="shared" si="4"/>
        <v>-1.2035810999089676</v>
      </c>
      <c r="D129" s="8">
        <f t="shared" si="4"/>
        <v>-0.36329341736720594</v>
      </c>
      <c r="E129" s="177" t="s">
        <v>670</v>
      </c>
    </row>
    <row r="130" spans="2:5">
      <c r="B130" s="6">
        <f t="shared" si="2"/>
        <v>40</v>
      </c>
      <c r="C130" s="8">
        <f t="shared" si="4"/>
        <v>-0.89178278080383289</v>
      </c>
      <c r="D130" s="8">
        <f t="shared" si="4"/>
        <v>-0.46566324107790114</v>
      </c>
      <c r="E130" s="177" t="s">
        <v>670</v>
      </c>
    </row>
    <row r="131" spans="2:5">
      <c r="B131" s="6">
        <f t="shared" si="2"/>
        <v>41</v>
      </c>
      <c r="C131" s="8">
        <f t="shared" si="4"/>
        <v>-0.26540424388171141</v>
      </c>
      <c r="D131" s="8">
        <f t="shared" si="4"/>
        <v>-0.41463900662576275</v>
      </c>
      <c r="E131" s="177" t="s">
        <v>670</v>
      </c>
    </row>
    <row r="132" spans="2:5">
      <c r="B132" s="6">
        <f t="shared" si="2"/>
        <v>42</v>
      </c>
      <c r="C132" s="8">
        <f t="shared" si="4"/>
        <v>0.23207684122134703</v>
      </c>
      <c r="D132" s="8">
        <f t="shared" si="4"/>
        <v>-0.3460249766009395</v>
      </c>
      <c r="E132" s="177" t="s">
        <v>670</v>
      </c>
    </row>
    <row r="133" spans="2:5">
      <c r="B133" s="6">
        <f t="shared" si="2"/>
        <v>43</v>
      </c>
      <c r="C133" s="8">
        <f t="shared" si="4"/>
        <v>-1.3887195627125</v>
      </c>
      <c r="D133" s="8">
        <f t="shared" si="4"/>
        <v>-0.73019775180373681</v>
      </c>
      <c r="E133" s="177" t="s">
        <v>670</v>
      </c>
    </row>
    <row r="134" spans="2:5">
      <c r="B134" s="6">
        <f t="shared" si="2"/>
        <v>44</v>
      </c>
      <c r="C134" s="8">
        <f t="shared" si="4"/>
        <v>-2.1828236137887189</v>
      </c>
      <c r="D134" s="8">
        <f t="shared" si="4"/>
        <v>0.12924086324335493</v>
      </c>
      <c r="E134" s="177" t="s">
        <v>670</v>
      </c>
    </row>
    <row r="135" spans="2:5">
      <c r="B135" s="6">
        <f t="shared" si="2"/>
        <v>45</v>
      </c>
      <c r="C135" s="8">
        <f t="shared" si="4"/>
        <v>-2.5895687676100083</v>
      </c>
      <c r="D135" s="8">
        <f t="shared" si="4"/>
        <v>0.21922665537197625</v>
      </c>
      <c r="E135" s="177" t="s">
        <v>670</v>
      </c>
    </row>
    <row r="136" spans="2:5">
      <c r="B136" s="6">
        <f t="shared" si="2"/>
        <v>46</v>
      </c>
      <c r="C136" s="8">
        <f t="shared" si="4"/>
        <v>-1.919535722647693</v>
      </c>
      <c r="D136" s="8">
        <f t="shared" si="4"/>
        <v>4.4848587377307901E-3</v>
      </c>
      <c r="E136" s="177" t="s">
        <v>670</v>
      </c>
    </row>
    <row r="137" spans="2:5">
      <c r="B137" s="6">
        <f t="shared" si="2"/>
        <v>47</v>
      </c>
      <c r="C137" s="8">
        <f t="shared" si="4"/>
        <v>-1.8058752682874046</v>
      </c>
      <c r="D137" s="8">
        <f t="shared" si="4"/>
        <v>0.44397132417124635</v>
      </c>
      <c r="E137" s="177" t="s">
        <v>670</v>
      </c>
    </row>
    <row r="138" spans="2:5">
      <c r="B138" s="6">
        <f t="shared" si="2"/>
        <v>48</v>
      </c>
      <c r="C138" s="8">
        <f t="shared" si="4"/>
        <v>-0.7179970355746027</v>
      </c>
      <c r="D138" s="8">
        <f t="shared" si="4"/>
        <v>4.4362183938506869E-2</v>
      </c>
      <c r="E138" s="177" t="s">
        <v>670</v>
      </c>
    </row>
    <row r="139" spans="2:5">
      <c r="B139" s="6">
        <f t="shared" si="2"/>
        <v>49</v>
      </c>
      <c r="C139" s="8">
        <f t="shared" ref="C139:D147" si="5">(C64-C$82)/C$83</f>
        <v>-0.2477628988428705</v>
      </c>
      <c r="D139" s="8">
        <f t="shared" si="5"/>
        <v>-0.46844119064302958</v>
      </c>
      <c r="E139" s="177" t="s">
        <v>670</v>
      </c>
    </row>
    <row r="140" spans="2:5">
      <c r="B140" s="6">
        <f t="shared" si="2"/>
        <v>50</v>
      </c>
      <c r="C140" s="8">
        <f t="shared" si="5"/>
        <v>-0.59833277235012861</v>
      </c>
      <c r="D140" s="8">
        <f t="shared" si="5"/>
        <v>6.0168381520767061E-2</v>
      </c>
      <c r="E140" s="177" t="s">
        <v>670</v>
      </c>
    </row>
    <row r="141" spans="2:5">
      <c r="B141" s="6">
        <f t="shared" si="2"/>
        <v>51</v>
      </c>
      <c r="C141" s="8">
        <f t="shared" si="5"/>
        <v>-0.1466634948722603</v>
      </c>
      <c r="D141" s="8">
        <f t="shared" si="5"/>
        <v>-1.0136056523687589</v>
      </c>
      <c r="E141" s="177" t="s">
        <v>670</v>
      </c>
    </row>
    <row r="142" spans="2:5">
      <c r="B142" s="6">
        <f t="shared" si="2"/>
        <v>52</v>
      </c>
      <c r="C142" s="8">
        <f t="shared" si="5"/>
        <v>-0.81345794053245057</v>
      </c>
      <c r="D142" s="8">
        <f t="shared" si="5"/>
        <v>-0.82009421507761504</v>
      </c>
      <c r="E142" s="177" t="s">
        <v>670</v>
      </c>
    </row>
    <row r="143" spans="2:5">
      <c r="B143" s="6">
        <f t="shared" si="2"/>
        <v>53</v>
      </c>
      <c r="C143" s="8">
        <f t="shared" si="5"/>
        <v>-0.68039678946220605</v>
      </c>
      <c r="D143" s="8">
        <f t="shared" si="5"/>
        <v>-0.89859106033377723</v>
      </c>
      <c r="E143" s="177" t="s">
        <v>670</v>
      </c>
    </row>
    <row r="144" spans="2:5">
      <c r="B144" s="6">
        <f t="shared" si="2"/>
        <v>54</v>
      </c>
      <c r="C144" s="8">
        <f t="shared" si="5"/>
        <v>-0.77591919728763703</v>
      </c>
      <c r="D144" s="8">
        <f t="shared" si="5"/>
        <v>0.24765937304321045</v>
      </c>
      <c r="E144" s="177" t="s">
        <v>670</v>
      </c>
    </row>
    <row r="145" spans="1:13">
      <c r="B145" s="6">
        <f t="shared" si="2"/>
        <v>55</v>
      </c>
      <c r="C145" s="8">
        <f t="shared" si="5"/>
        <v>-0.83880174576431288</v>
      </c>
      <c r="D145" s="8">
        <f t="shared" si="5"/>
        <v>-0.48460289117574701</v>
      </c>
      <c r="E145" s="177" t="s">
        <v>670</v>
      </c>
    </row>
    <row r="146" spans="1:13">
      <c r="B146" s="6">
        <f t="shared" si="2"/>
        <v>56</v>
      </c>
      <c r="C146" s="8">
        <f t="shared" si="5"/>
        <v>-0.15219340556964991</v>
      </c>
      <c r="D146" s="8">
        <f t="shared" si="5"/>
        <v>-0.20992822021262628</v>
      </c>
      <c r="E146" s="177" t="s">
        <v>670</v>
      </c>
    </row>
    <row r="147" spans="1:13">
      <c r="B147" s="6">
        <f t="shared" si="2"/>
        <v>57</v>
      </c>
      <c r="C147" s="8">
        <f t="shared" si="5"/>
        <v>0.20384566232894802</v>
      </c>
      <c r="D147" s="8">
        <f t="shared" si="5"/>
        <v>-1.368099183261426</v>
      </c>
      <c r="E147" s="177" t="s">
        <v>670</v>
      </c>
    </row>
    <row r="151" spans="1:13">
      <c r="A151" s="24" t="s">
        <v>721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4" spans="1:13">
      <c r="B154" s="6" t="s">
        <v>716</v>
      </c>
      <c r="C154" s="6" t="s">
        <v>256</v>
      </c>
      <c r="D154" s="6" t="s">
        <v>708</v>
      </c>
    </row>
    <row r="155" spans="1:13">
      <c r="B155" s="6" t="s">
        <v>668</v>
      </c>
      <c r="C155" s="168">
        <f>AVERAGE(C16:C34)</f>
        <v>19.878760111760158</v>
      </c>
      <c r="D155" s="8">
        <f>AVERAGE(D16:D34)</f>
        <v>1.3474645620200227</v>
      </c>
    </row>
    <row r="156" spans="1:13">
      <c r="B156" s="6" t="s">
        <v>669</v>
      </c>
      <c r="C156" s="8">
        <f>AVERAGE(C35:C53)</f>
        <v>23.073478124695754</v>
      </c>
      <c r="D156" s="8">
        <f>AVERAGE(D35:D53)</f>
        <v>2.8048997135489548</v>
      </c>
    </row>
    <row r="157" spans="1:13">
      <c r="B157" s="6" t="s">
        <v>670</v>
      </c>
      <c r="C157" s="8">
        <f>AVERAGE(C54:C72)</f>
        <v>14.49431317479419</v>
      </c>
      <c r="D157" s="8">
        <f>AVERAGE(D54:D72)</f>
        <v>1.6041321327961264</v>
      </c>
    </row>
    <row r="159" spans="1:13">
      <c r="B159" s="6" t="s">
        <v>716</v>
      </c>
      <c r="C159" s="6" t="s">
        <v>710</v>
      </c>
      <c r="D159" s="6" t="s">
        <v>711</v>
      </c>
    </row>
    <row r="160" spans="1:13">
      <c r="B160" s="6" t="s">
        <v>717</v>
      </c>
      <c r="C160" s="8">
        <f>AVERAGE(C91:C109)</f>
        <v>0.13851787873301294</v>
      </c>
      <c r="D160" s="8">
        <f>AVERAGE(D91:D109)</f>
        <v>-0.61482402784515966</v>
      </c>
    </row>
    <row r="161" spans="1:13">
      <c r="B161" s="6" t="s">
        <v>718</v>
      </c>
      <c r="C161" s="8">
        <f>AVERAGE(C110:C128)</f>
        <v>0.74479232317997057</v>
      </c>
      <c r="D161" s="8">
        <f>AVERAGE(D110:D128)</f>
        <v>0.95345914187261871</v>
      </c>
    </row>
    <row r="162" spans="1:13">
      <c r="B162" s="6" t="s">
        <v>719</v>
      </c>
      <c r="C162" s="8">
        <f>AVERAGE(C129:C147)</f>
        <v>-0.88331020191298204</v>
      </c>
      <c r="D162" s="8">
        <f>AVERAGE(D129:D147)</f>
        <v>-0.33863511402745966</v>
      </c>
    </row>
    <row r="166" spans="1:13">
      <c r="A166" s="24" t="s">
        <v>722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9" spans="1:13">
      <c r="E169" s="6" t="s">
        <v>700</v>
      </c>
      <c r="G169" s="6" t="s">
        <v>701</v>
      </c>
    </row>
    <row r="170" spans="1:13">
      <c r="C170" s="1"/>
      <c r="D170" s="1"/>
      <c r="E170" s="6" t="s">
        <v>668</v>
      </c>
      <c r="F170" s="1"/>
      <c r="G170" s="6" t="s">
        <v>723</v>
      </c>
      <c r="H170" s="1"/>
    </row>
    <row r="171" spans="1:13">
      <c r="B171" s="6" t="s">
        <v>539</v>
      </c>
      <c r="C171" s="168">
        <f>CORREL(C91:C109,D91:D109)</f>
        <v>-0.82582702545276399</v>
      </c>
      <c r="D171" s="6" t="s">
        <v>244</v>
      </c>
      <c r="E171" s="168">
        <f>_xlfn.VAR.P(C91:C109)</f>
        <v>0.26626919281980976</v>
      </c>
      <c r="F171" s="168">
        <f>_xlfn.COVARIANCE.P(C91:C109,D91:D109)</f>
        <v>-0.30883412211110484</v>
      </c>
      <c r="G171" s="168">
        <f t="array" ref="G171:H172">MINVERSE(E171:F172)</f>
        <v>11.809694911393198</v>
      </c>
      <c r="H171" s="168">
        <v>6.944044643918474</v>
      </c>
    </row>
    <row r="172" spans="1:13">
      <c r="B172" s="6" t="s">
        <v>397</v>
      </c>
      <c r="C172" s="8">
        <f>COUNTIF(E91:E147,"=risk")</f>
        <v>19</v>
      </c>
      <c r="D172" s="168">
        <f>MDETERM(E171:F172)</f>
        <v>4.4474674047722138E-2</v>
      </c>
      <c r="E172" s="168">
        <f>F171</f>
        <v>-0.30883412211110484</v>
      </c>
      <c r="F172" s="168">
        <f>_xlfn.VAR.P(D91:D109)</f>
        <v>0.52523233178725515</v>
      </c>
      <c r="G172" s="168">
        <v>6.944044643918474</v>
      </c>
      <c r="H172" s="168">
        <v>5.9869846945724232</v>
      </c>
    </row>
    <row r="173" spans="1:13">
      <c r="C173" s="1"/>
      <c r="E173" s="6" t="s">
        <v>669</v>
      </c>
      <c r="F173" s="1"/>
      <c r="G173" s="6" t="s">
        <v>723</v>
      </c>
      <c r="H173" s="1"/>
    </row>
    <row r="174" spans="1:13">
      <c r="B174" s="6" t="s">
        <v>539</v>
      </c>
      <c r="C174" s="168">
        <f>CORREL(C110:C128,D110:D128)</f>
        <v>-0.89073630963800932</v>
      </c>
      <c r="D174" s="6" t="s">
        <v>244</v>
      </c>
      <c r="E174" s="168">
        <f>_xlfn.VAR.P(C110:C128)</f>
        <v>0.78274693410940521</v>
      </c>
      <c r="F174" s="168">
        <f>_xlfn.COVARIANCE.P(C110:C128,D110:D128)</f>
        <v>-0.72736280336570169</v>
      </c>
      <c r="G174" s="168">
        <f t="array" ref="G174:H175">MINVERSE(E174:F175)</f>
        <v>6.184032960275931</v>
      </c>
      <c r="H174" s="168">
        <v>5.280078692938825</v>
      </c>
    </row>
    <row r="175" spans="1:13">
      <c r="B175" s="6" t="s">
        <v>397</v>
      </c>
      <c r="C175" s="8">
        <f>COUNTIF(E91:E147,"=ill")</f>
        <v>19</v>
      </c>
      <c r="D175" s="168">
        <f>MDETERM(E174:F175)</f>
        <v>0.13775605358655379</v>
      </c>
      <c r="E175" s="168">
        <f>F174</f>
        <v>-0.72736280336570169</v>
      </c>
      <c r="F175" s="168">
        <f>_xlfn.VAR.P(D110:D128)</f>
        <v>0.85188797585678599</v>
      </c>
      <c r="G175" s="168">
        <v>5.280078692938825</v>
      </c>
      <c r="H175" s="168">
        <v>5.6821236797234169</v>
      </c>
    </row>
    <row r="176" spans="1:13">
      <c r="C176" s="1"/>
      <c r="E176" s="6" t="s">
        <v>670</v>
      </c>
      <c r="F176" s="1"/>
      <c r="G176" s="6" t="s">
        <v>723</v>
      </c>
      <c r="H176" s="1"/>
    </row>
    <row r="177" spans="1:13">
      <c r="B177" s="6" t="s">
        <v>539</v>
      </c>
      <c r="C177" s="168">
        <f>CORREL(C129:C147,D129:D147)</f>
        <v>-0.58015490866074104</v>
      </c>
      <c r="D177" s="6" t="s">
        <v>244</v>
      </c>
      <c r="E177" s="168">
        <f>_xlfn.VAR.P(C129:C147)</f>
        <v>0.59684415287070902</v>
      </c>
      <c r="F177" s="168">
        <f>_xlfn.COVARIANCE.P(C129:C147,D129:D147)</f>
        <v>-0.2107568079719811</v>
      </c>
      <c r="G177" s="168">
        <f t="array" ref="G177:H178">MINVERSE(E177:F178)</f>
        <v>2.5255170911412046</v>
      </c>
      <c r="H177" s="168">
        <v>2.407229990359872</v>
      </c>
    </row>
    <row r="178" spans="1:13">
      <c r="B178" s="6" t="s">
        <v>397</v>
      </c>
      <c r="C178" s="8">
        <f>COUNTIF(E91:E147,"=normal")</f>
        <v>19</v>
      </c>
      <c r="D178" s="168">
        <f t="array" ref="D178">MDETERM(E177:F178)</f>
        <v>8.7551587848269427E-2</v>
      </c>
      <c r="E178" s="168">
        <f>F177</f>
        <v>-0.2107568079719811</v>
      </c>
      <c r="F178" s="168">
        <f>_xlfn.VAR.P(D129:D147)</f>
        <v>0.22111303146735506</v>
      </c>
      <c r="G178" s="168">
        <v>2.407229990359872</v>
      </c>
      <c r="H178" s="168">
        <v>6.8170568637209064</v>
      </c>
    </row>
    <row r="182" spans="1:13">
      <c r="A182" s="24" t="s">
        <v>724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5" spans="1:13">
      <c r="B185" s="177" t="s">
        <v>759</v>
      </c>
      <c r="C185" s="177"/>
      <c r="D185" s="177"/>
      <c r="E185" s="177"/>
      <c r="F185" s="177"/>
    </row>
    <row r="186" spans="1:13">
      <c r="B186" s="6" t="s">
        <v>707</v>
      </c>
      <c r="C186" s="6" t="s">
        <v>668</v>
      </c>
      <c r="D186" s="6" t="s">
        <v>669</v>
      </c>
      <c r="E186" s="6" t="s">
        <v>670</v>
      </c>
      <c r="F186" s="6" t="s">
        <v>709</v>
      </c>
    </row>
    <row r="187" spans="1:13">
      <c r="B187" s="6">
        <v>1</v>
      </c>
      <c r="C187" s="67">
        <f t="array" ref="C187">MMULT(MMULT(C91:D91-$C$160:$D$160,$G$171:$H$172),TRANSPOSE(C91:D91-$C$160:$D$160))</f>
        <v>3.9283424270245231</v>
      </c>
      <c r="D187" s="169">
        <f t="array" ref="D187">MMULT(MMULT(C91:D91-$C$161:$D$161,$G$174:$H$175),TRANSPOSE(C91:D91-$C$161:$D$161))</f>
        <v>10.727753243525747</v>
      </c>
      <c r="E187" s="8">
        <f t="array" ref="E187">MMULT(MMULT(C91:D91-$C$162:$D$162,$G$177:$H$178),TRANSPOSE(C91:D91-$C$162:$D$162))</f>
        <v>9.6004621285568881</v>
      </c>
      <c r="F187" s="177" t="s">
        <v>668</v>
      </c>
    </row>
    <row r="188" spans="1:13">
      <c r="B188" s="6">
        <f t="shared" ref="B188:B243" si="6">B187+1</f>
        <v>2</v>
      </c>
      <c r="C188" s="68">
        <f t="array" ref="C188">MMULT(MMULT(C92:D92-$C$160:$D$160,$G$171:$H$172),TRANSPOSE(C92:D92-$C$160:$D$160))</f>
        <v>1.8234801359175821</v>
      </c>
      <c r="D188" s="169">
        <f t="array" ref="D188">MMULT(MMULT(C92:D92-$C$161:$D$161,$G$174:$H$175),TRANSPOSE(C92:D92-$C$161:$D$161))</f>
        <v>15.492320080430174</v>
      </c>
      <c r="E188" s="8">
        <f t="array" ref="E188">MMULT(MMULT(C92:D92-$C$162:$D$162,$G$177:$H$178),TRANSPOSE(C92:D92-$C$162:$D$162))</f>
        <v>3.9506710223086885</v>
      </c>
      <c r="F188" s="177" t="s">
        <v>668</v>
      </c>
    </row>
    <row r="189" spans="1:13">
      <c r="B189" s="6">
        <f t="shared" si="6"/>
        <v>3</v>
      </c>
      <c r="C189" s="68">
        <f t="array" ref="C189">MMULT(MMULT(C93:D93-$C$160:$D$160,$G$171:$H$172),TRANSPOSE(C93:D93-$C$160:$D$160))</f>
        <v>5.1271132020263606</v>
      </c>
      <c r="D189" s="169">
        <f t="array" ref="D189">MMULT(MMULT(C93:D93-$C$161:$D$161,$G$174:$H$175),TRANSPOSE(C93:D93-$C$161:$D$161))</f>
        <v>49.1595525200742</v>
      </c>
      <c r="E189" s="8">
        <f t="array" ref="E189">MMULT(MMULT(C93:D93-$C$162:$D$162,$G$177:$H$178),TRANSPOSE(C93:D93-$C$162:$D$162))</f>
        <v>1.9747070826311526</v>
      </c>
      <c r="F189" s="177" t="s">
        <v>668</v>
      </c>
    </row>
    <row r="190" spans="1:13">
      <c r="B190" s="6">
        <f t="shared" si="6"/>
        <v>4</v>
      </c>
      <c r="C190" s="68">
        <f t="array" ref="C190">MMULT(MMULT(C94:D94-$C$160:$D$160,$G$171:$H$172),TRANSPOSE(C94:D94-$C$160:$D$160))</f>
        <v>3.7337226579148117</v>
      </c>
      <c r="D190" s="169">
        <f t="array" ref="D190">MMULT(MMULT(C94:D94-$C$161:$D$161,$G$174:$H$175),TRANSPOSE(C94:D94-$C$161:$D$161))</f>
        <v>48.302039998623272</v>
      </c>
      <c r="E190" s="8">
        <f t="array" ref="E190">MMULT(MMULT(C94:D94-$C$162:$D$162,$G$177:$H$178),TRANSPOSE(C94:D94-$C$162:$D$162))</f>
        <v>4.1306307827663167</v>
      </c>
      <c r="F190" s="177" t="s">
        <v>668</v>
      </c>
    </row>
    <row r="191" spans="1:13">
      <c r="B191" s="6">
        <f t="shared" si="6"/>
        <v>5</v>
      </c>
      <c r="C191" s="68">
        <f t="array" ref="C191">MMULT(MMULT(C95:D95-$C$160:$D$160,$G$171:$H$172),TRANSPOSE(C95:D95-$C$160:$D$160))</f>
        <v>2.9264757929838443</v>
      </c>
      <c r="D191" s="169">
        <f t="array" ref="D191">MMULT(MMULT(C95:D95-$C$161:$D$161,$G$174:$H$175),TRANSPOSE(C95:D95-$C$161:$D$161))</f>
        <v>17.191669098533708</v>
      </c>
      <c r="E191" s="8">
        <f t="array" ref="E191">MMULT(MMULT(C95:D95-$C$162:$D$162,$G$177:$H$178),TRANSPOSE(C95:D95-$C$162:$D$162))</f>
        <v>7.5882347684689933</v>
      </c>
      <c r="F191" s="177" t="s">
        <v>668</v>
      </c>
    </row>
    <row r="192" spans="1:13">
      <c r="B192" s="6">
        <f t="shared" si="6"/>
        <v>6</v>
      </c>
      <c r="C192" s="68">
        <f t="array" ref="C192">MMULT(MMULT(C96:D96-$C$160:$D$160,$G$171:$H$172),TRANSPOSE(C96:D96-$C$160:$D$160))</f>
        <v>0.9583696193877953</v>
      </c>
      <c r="D192" s="169">
        <f t="array" ref="D192">MMULT(MMULT(C96:D96-$C$161:$D$161,$G$174:$H$175),TRANSPOSE(C96:D96-$C$161:$D$161))</f>
        <v>18.824203880106694</v>
      </c>
      <c r="E192" s="8">
        <f t="array" ref="E192">MMULT(MMULT(C96:D96-$C$162:$D$162,$G$177:$H$178),TRANSPOSE(C96:D96-$C$162:$D$162))</f>
        <v>3.6844949957149309</v>
      </c>
      <c r="F192" s="177" t="s">
        <v>668</v>
      </c>
    </row>
    <row r="193" spans="2:6">
      <c r="B193" s="6">
        <f t="shared" si="6"/>
        <v>7</v>
      </c>
      <c r="C193" s="68">
        <f t="array" ref="C193">MMULT(MMULT(C97:D97-$C$160:$D$160,$G$171:$H$172),TRANSPOSE(C97:D97-$C$160:$D$160))</f>
        <v>4.7167472076049304</v>
      </c>
      <c r="D193" s="169">
        <f t="array" ref="D193">MMULT(MMULT(C97:D97-$C$161:$D$161,$G$174:$H$175),TRANSPOSE(C97:D97-$C$161:$D$161))</f>
        <v>30.838950766357641</v>
      </c>
      <c r="E193" s="8">
        <f t="array" ref="E193">MMULT(MMULT(C97:D97-$C$162:$D$162,$G$177:$H$178),TRANSPOSE(C97:D97-$C$162:$D$162))</f>
        <v>2.7081855841728437</v>
      </c>
      <c r="F193" s="177" t="s">
        <v>668</v>
      </c>
    </row>
    <row r="194" spans="2:6">
      <c r="B194" s="6">
        <f t="shared" si="6"/>
        <v>8</v>
      </c>
      <c r="C194" s="68">
        <f t="array" ref="C194">MMULT(MMULT(C98:D98-$C$160:$D$160,$G$171:$H$172),TRANSPOSE(C98:D98-$C$160:$D$160))</f>
        <v>4.6724948902069094</v>
      </c>
      <c r="D194" s="169">
        <f t="array" ref="D194">MMULT(MMULT(C98:D98-$C$161:$D$161,$G$174:$H$175),TRANSPOSE(C98:D98-$C$161:$D$161))</f>
        <v>17.733163933621114</v>
      </c>
      <c r="E194" s="8">
        <f t="array" ref="E194">MMULT(MMULT(C98:D98-$C$162:$D$162,$G$177:$H$178),TRANSPOSE(C98:D98-$C$162:$D$162))</f>
        <v>10.405968176363368</v>
      </c>
      <c r="F194" s="177" t="s">
        <v>668</v>
      </c>
    </row>
    <row r="195" spans="2:6">
      <c r="B195" s="6">
        <f t="shared" si="6"/>
        <v>9</v>
      </c>
      <c r="C195" s="68">
        <f t="array" ref="C195">MMULT(MMULT(C99:D99-$C$160:$D$160,$G$171:$H$172),TRANSPOSE(C99:D99-$C$160:$D$160))</f>
        <v>3.3151415788136154</v>
      </c>
      <c r="D195" s="169">
        <f t="array" ref="D195">MMULT(MMULT(C99:D99-$C$161:$D$161,$G$174:$H$175),TRANSPOSE(C99:D99-$C$161:$D$161))</f>
        <v>24.290344882258072</v>
      </c>
      <c r="E195" s="8">
        <f t="array" ref="E195">MMULT(MMULT(C99:D99-$C$162:$D$162,$G$177:$H$178),TRANSPOSE(C99:D99-$C$162:$D$162))</f>
        <v>6.8751536547343743</v>
      </c>
      <c r="F195" s="177" t="s">
        <v>668</v>
      </c>
    </row>
    <row r="196" spans="2:6">
      <c r="B196" s="6">
        <f t="shared" si="6"/>
        <v>10</v>
      </c>
      <c r="C196" s="68">
        <f t="array" ref="C196">MMULT(MMULT(C100:D100-$C$160:$D$160,$G$171:$H$172),TRANSPOSE(C100:D100-$C$160:$D$160))</f>
        <v>0.26988327489163855</v>
      </c>
      <c r="D196" s="169">
        <f t="array" ref="D196">MMULT(MMULT(C100:D100-$C$161:$D$161,$G$174:$H$175),TRANSPOSE(C100:D100-$C$161:$D$161))</f>
        <v>26.796006609737628</v>
      </c>
      <c r="E196" s="8">
        <f t="array" ref="E196">MMULT(MMULT(C100:D100-$C$162:$D$162,$G$177:$H$178),TRANSPOSE(C100:D100-$C$162:$D$162))</f>
        <v>2.8496099675925235</v>
      </c>
      <c r="F196" s="177" t="s">
        <v>668</v>
      </c>
    </row>
    <row r="197" spans="2:6">
      <c r="B197" s="6">
        <f t="shared" si="6"/>
        <v>11</v>
      </c>
      <c r="C197" s="68">
        <f t="array" ref="C197">MMULT(MMULT(C101:D101-$C$160:$D$160,$G$171:$H$172),TRANSPOSE(C101:D101-$C$160:$D$160))</f>
        <v>0.87253840643618685</v>
      </c>
      <c r="D197" s="169">
        <f t="array" ref="D197">MMULT(MMULT(C101:D101-$C$161:$D$161,$G$174:$H$175),TRANSPOSE(C101:D101-$C$161:$D$161))</f>
        <v>29.867467107814925</v>
      </c>
      <c r="E197" s="8">
        <f t="array" ref="E197">MMULT(MMULT(C101:D101-$C$162:$D$162,$G$177:$H$178),TRANSPOSE(C101:D101-$C$162:$D$162))</f>
        <v>4.6075053181129855</v>
      </c>
      <c r="F197" s="177" t="s">
        <v>668</v>
      </c>
    </row>
    <row r="198" spans="2:6">
      <c r="B198" s="6">
        <f t="shared" si="6"/>
        <v>12</v>
      </c>
      <c r="C198" s="68">
        <f t="array" ref="C198">MMULT(MMULT(C102:D102-$C$160:$D$160,$G$171:$H$172),TRANSPOSE(C102:D102-$C$160:$D$160))</f>
        <v>0.20354028403185637</v>
      </c>
      <c r="D198" s="169">
        <f t="array" ref="D198">MMULT(MMULT(C102:D102-$C$161:$D$161,$G$174:$H$175),TRANSPOSE(C102:D102-$C$161:$D$161))</f>
        <v>28.840967715128752</v>
      </c>
      <c r="E198" s="8">
        <f t="array" ref="E198">MMULT(MMULT(C102:D102-$C$162:$D$162,$G$177:$H$178),TRANSPOSE(C102:D102-$C$162:$D$162))</f>
        <v>2.7420861830714869</v>
      </c>
      <c r="F198" s="177" t="s">
        <v>668</v>
      </c>
    </row>
    <row r="199" spans="2:6">
      <c r="B199" s="6">
        <f t="shared" si="6"/>
        <v>13</v>
      </c>
      <c r="C199" s="68">
        <f t="array" ref="C199">MMULT(MMULT(C103:D103-$C$160:$D$160,$G$171:$H$172),TRANSPOSE(C103:D103-$C$160:$D$160))</f>
        <v>1.7323191081662794</v>
      </c>
      <c r="D199" s="169">
        <f t="array" ref="D199">MMULT(MMULT(C103:D103-$C$161:$D$161,$G$174:$H$175),TRANSPOSE(C103:D103-$C$161:$D$161))</f>
        <v>41.396552089769528</v>
      </c>
      <c r="E199" s="8">
        <f t="array" ref="E199">MMULT(MMULT(C103:D103-$C$162:$D$162,$G$177:$H$178),TRANSPOSE(C103:D103-$C$162:$D$162))</f>
        <v>4.7908720634373054</v>
      </c>
      <c r="F199" s="177" t="s">
        <v>668</v>
      </c>
    </row>
    <row r="200" spans="2:6">
      <c r="B200" s="6">
        <f t="shared" si="6"/>
        <v>14</v>
      </c>
      <c r="C200" s="68">
        <f t="array" ref="C200">MMULT(MMULT(C104:D104-$C$160:$D$160,$G$171:$H$172),TRANSPOSE(C104:D104-$C$160:$D$160))</f>
        <v>1.1901645071523623</v>
      </c>
      <c r="D200" s="169">
        <f t="array" ref="D200">MMULT(MMULT(C104:D104-$C$161:$D$161,$G$174:$H$175),TRANSPOSE(C104:D104-$C$161:$D$161))</f>
        <v>19.106087285769775</v>
      </c>
      <c r="E200" s="8">
        <f t="array" ref="E200">MMULT(MMULT(C104:D104-$C$162:$D$162,$G$177:$H$178),TRANSPOSE(C104:D104-$C$162:$D$162))</f>
        <v>3.2606780959581116</v>
      </c>
      <c r="F200" s="177" t="s">
        <v>668</v>
      </c>
    </row>
    <row r="201" spans="2:6">
      <c r="B201" s="6">
        <f t="shared" si="6"/>
        <v>15</v>
      </c>
      <c r="C201" s="68">
        <f t="array" ref="C201">MMULT(MMULT(C105:D105-$C$160:$D$160,$G$171:$H$172),TRANSPOSE(C105:D105-$C$160:$D$160))</f>
        <v>0.24506139554159606</v>
      </c>
      <c r="D201" s="169">
        <f t="array" ref="D201">MMULT(MMULT(C105:D105-$C$161:$D$161,$G$174:$H$175),TRANSPOSE(C105:D105-$C$161:$D$161))</f>
        <v>29.141738374231224</v>
      </c>
      <c r="E201" s="8">
        <f t="array" ref="E201">MMULT(MMULT(C105:D105-$C$162:$D$162,$G$177:$H$178),TRANSPOSE(C105:D105-$C$162:$D$162))</f>
        <v>2.883495711174537</v>
      </c>
      <c r="F201" s="177" t="s">
        <v>668</v>
      </c>
    </row>
    <row r="202" spans="2:6">
      <c r="B202" s="6">
        <f t="shared" si="6"/>
        <v>16</v>
      </c>
      <c r="C202" s="68">
        <f t="array" ref="C202">MMULT(MMULT(C106:D106-$C$160:$D$160,$G$171:$H$172),TRANSPOSE(C106:D106-$C$160:$D$160))</f>
        <v>0.41643360660166034</v>
      </c>
      <c r="D202" s="169">
        <f t="array" ref="D202">MMULT(MMULT(C106:D106-$C$161:$D$161,$G$174:$H$175),TRANSPOSE(C106:D106-$C$161:$D$161))</f>
        <v>24.368420644951293</v>
      </c>
      <c r="E202" s="8">
        <f t="array" ref="E202">MMULT(MMULT(C106:D106-$C$162:$D$162,$G$177:$H$178),TRANSPOSE(C106:D106-$C$162:$D$162))</f>
        <v>2.8752043679521746</v>
      </c>
      <c r="F202" s="177" t="s">
        <v>668</v>
      </c>
    </row>
    <row r="203" spans="2:6">
      <c r="B203" s="6">
        <f t="shared" si="6"/>
        <v>17</v>
      </c>
      <c r="C203" s="68">
        <f t="array" ref="C203">MMULT(MMULT(C107:D107-$C$160:$D$160,$G$171:$H$172),TRANSPOSE(C107:D107-$C$160:$D$160))</f>
        <v>0.56564813665286295</v>
      </c>
      <c r="D203" s="169">
        <f t="array" ref="D203">MMULT(MMULT(C107:D107-$C$161:$D$161,$G$174:$H$175),TRANSPOSE(C107:D107-$C$161:$D$161))</f>
        <v>33.28207372025112</v>
      </c>
      <c r="E203" s="8">
        <f t="array" ref="E203">MMULT(MMULT(C107:D107-$C$162:$D$162,$G$177:$H$178),TRANSPOSE(C107:D107-$C$162:$D$162))</f>
        <v>3.6485285428015457</v>
      </c>
      <c r="F203" s="177" t="s">
        <v>668</v>
      </c>
    </row>
    <row r="204" spans="2:6">
      <c r="B204" s="6">
        <f t="shared" si="6"/>
        <v>18</v>
      </c>
      <c r="C204" s="68">
        <f t="array" ref="C204">MMULT(MMULT(C108:D108-$C$160:$D$160,$G$171:$H$172),TRANSPOSE(C108:D108-$C$160:$D$160))</f>
        <v>0.85194879877226948</v>
      </c>
      <c r="D204" s="169">
        <f t="array" ref="D204">MMULT(MMULT(C108:D108-$C$161:$D$161,$G$174:$H$175),TRANSPOSE(C108:D108-$C$161:$D$161))</f>
        <v>30.24847606683683</v>
      </c>
      <c r="E204" s="8">
        <f t="array" ref="E204">MMULT(MMULT(C108:D108-$C$162:$D$162,$G$177:$H$178),TRANSPOSE(C108:D108-$C$162:$D$162))</f>
        <v>4.6070793545535844</v>
      </c>
      <c r="F204" s="177" t="s">
        <v>668</v>
      </c>
    </row>
    <row r="205" spans="2:6">
      <c r="B205" s="6">
        <f t="shared" si="6"/>
        <v>19</v>
      </c>
      <c r="C205" s="69">
        <f t="array" ref="C205">MMULT(MMULT(C109:D109-$C$160:$D$160,$G$171:$H$172),TRANSPOSE(C109:D109-$C$160:$D$160))</f>
        <v>0.45057496987295353</v>
      </c>
      <c r="D205" s="171">
        <f t="array" ref="D205">MMULT(MMULT(C109:D109-$C$161:$D$161,$G$174:$H$175),TRANSPOSE(C109:D109-$C$161:$D$161))</f>
        <v>29.9080408720984</v>
      </c>
      <c r="E205" s="8">
        <f t="array" ref="E205">MMULT(MMULT(C109:D109-$C$162:$D$162,$G$177:$H$178),TRANSPOSE(C109:D109-$C$162:$D$162))</f>
        <v>3.5399051326604591</v>
      </c>
      <c r="F205" s="177" t="s">
        <v>668</v>
      </c>
    </row>
    <row r="206" spans="2:6">
      <c r="B206" s="6">
        <f t="shared" si="6"/>
        <v>20</v>
      </c>
      <c r="C206" s="170">
        <f t="array" ref="C206">MMULT(MMULT(C110:D110-$C$160:$D$160,$G$171:$H$172),TRANSPOSE(C110:D110-$C$160:$D$160))</f>
        <v>46.749611547508863</v>
      </c>
      <c r="D206" s="67">
        <f t="array" ref="D206">MMULT(MMULT(C110:D110-$C$161:$D$161,$G$174:$H$175),TRANSPOSE(C110:D110-$C$161:$D$161))</f>
        <v>1.3614578487704248</v>
      </c>
      <c r="E206" s="169">
        <f t="array" ref="E206">MMULT(MMULT(C110:D110-$C$162:$D$162,$G$177:$H$178),TRANSPOSE(C110:D110-$C$162:$D$162))</f>
        <v>42.582167838868706</v>
      </c>
      <c r="F206" s="177" t="s">
        <v>669</v>
      </c>
    </row>
    <row r="207" spans="2:6">
      <c r="B207" s="6">
        <f t="shared" si="6"/>
        <v>21</v>
      </c>
      <c r="C207" s="65">
        <f t="array" ref="C207">MMULT(MMULT(C111:D111-$C$160:$D$160,$G$171:$H$172),TRANSPOSE(C111:D111-$C$160:$D$160))</f>
        <v>28.287732700781362</v>
      </c>
      <c r="D207" s="68">
        <f t="array" ref="D207">MMULT(MMULT(C111:D111-$C$161:$D$161,$G$174:$H$175),TRANSPOSE(C111:D111-$C$161:$D$161))</f>
        <v>0.19769343317446963</v>
      </c>
      <c r="E207" s="169">
        <f t="array" ref="E207">MMULT(MMULT(C111:D111-$C$162:$D$162,$G$177:$H$178),TRANSPOSE(C111:D111-$C$162:$D$162))</f>
        <v>23.210727037879515</v>
      </c>
      <c r="F207" s="177" t="s">
        <v>669</v>
      </c>
    </row>
    <row r="208" spans="2:6">
      <c r="B208" s="6">
        <f t="shared" si="6"/>
        <v>22</v>
      </c>
      <c r="C208" s="65">
        <f t="array" ref="C208">MMULT(MMULT(C112:D112-$C$160:$D$160,$G$171:$H$172),TRANSPOSE(C112:D112-$C$160:$D$160))</f>
        <v>34.584558192572082</v>
      </c>
      <c r="D208" s="68">
        <f t="array" ref="D208">MMULT(MMULT(C112:D112-$C$161:$D$161,$G$174:$H$175),TRANSPOSE(C112:D112-$C$161:$D$161))</f>
        <v>0.52458696889933432</v>
      </c>
      <c r="E208" s="169">
        <f t="array" ref="E208">MMULT(MMULT(C112:D112-$C$162:$D$162,$G$177:$H$178),TRANSPOSE(C112:D112-$C$162:$D$162))</f>
        <v>21.035341876319052</v>
      </c>
      <c r="F208" s="177" t="s">
        <v>669</v>
      </c>
    </row>
    <row r="209" spans="2:6">
      <c r="B209" s="6">
        <f t="shared" si="6"/>
        <v>23</v>
      </c>
      <c r="C209" s="65">
        <f t="array" ref="C209">MMULT(MMULT(C113:D113-$C$160:$D$160,$G$171:$H$172),TRANSPOSE(C113:D113-$C$160:$D$160))</f>
        <v>61.502482354357042</v>
      </c>
      <c r="D209" s="68">
        <f t="array" ref="D209">MMULT(MMULT(C113:D113-$C$161:$D$161,$G$174:$H$175),TRANSPOSE(C113:D113-$C$161:$D$161))</f>
        <v>2.4686357280256539</v>
      </c>
      <c r="E209" s="169">
        <f t="array" ref="E209">MMULT(MMULT(C113:D113-$C$162:$D$162,$G$177:$H$178),TRANSPOSE(C113:D113-$C$162:$D$162))</f>
        <v>27.915777942502078</v>
      </c>
      <c r="F209" s="177" t="s">
        <v>669</v>
      </c>
    </row>
    <row r="210" spans="2:6">
      <c r="B210" s="6">
        <f t="shared" si="6"/>
        <v>24</v>
      </c>
      <c r="C210" s="65">
        <f t="array" ref="C210">MMULT(MMULT(C114:D114-$C$160:$D$160,$G$171:$H$172),TRANSPOSE(C114:D114-$C$160:$D$160))</f>
        <v>27.401065542571956</v>
      </c>
      <c r="D210" s="68">
        <f t="array" ref="D210">MMULT(MMULT(C114:D114-$C$161:$D$161,$G$174:$H$175),TRANSPOSE(C114:D114-$C$161:$D$161))</f>
        <v>1.4771980454144518</v>
      </c>
      <c r="E210" s="169">
        <f t="array" ref="E210">MMULT(MMULT(C114:D114-$C$162:$D$162,$G$177:$H$178),TRANSPOSE(C114:D114-$C$162:$D$162))</f>
        <v>45.231423390665235</v>
      </c>
      <c r="F210" s="177" t="s">
        <v>669</v>
      </c>
    </row>
    <row r="211" spans="2:6">
      <c r="B211" s="6">
        <f t="shared" si="6"/>
        <v>25</v>
      </c>
      <c r="C211" s="65">
        <f t="array" ref="C211">MMULT(MMULT(C115:D115-$C$160:$D$160,$G$171:$H$172),TRANSPOSE(C115:D115-$C$160:$D$160))</f>
        <v>23.786457705139085</v>
      </c>
      <c r="D211" s="68">
        <f t="array" ref="D211">MMULT(MMULT(C115:D115-$C$161:$D$161,$G$174:$H$175),TRANSPOSE(C115:D115-$C$161:$D$161))</f>
        <v>4.3935848235348613</v>
      </c>
      <c r="E211" s="169">
        <f t="array" ref="E211">MMULT(MMULT(C115:D115-$C$162:$D$162,$G$177:$H$178),TRANSPOSE(C115:D115-$C$162:$D$162))</f>
        <v>54.180344465493683</v>
      </c>
      <c r="F211" s="177" t="s">
        <v>669</v>
      </c>
    </row>
    <row r="212" spans="2:6">
      <c r="B212" s="6">
        <f t="shared" si="6"/>
        <v>26</v>
      </c>
      <c r="C212" s="65">
        <f t="array" ref="C212">MMULT(MMULT(C116:D116-$C$160:$D$160,$G$171:$H$172),TRANSPOSE(C116:D116-$C$160:$D$160))</f>
        <v>40.635807343186855</v>
      </c>
      <c r="D212" s="68">
        <f t="array" ref="D212">MMULT(MMULT(C116:D116-$C$161:$D$161,$G$174:$H$175),TRANSPOSE(C116:D116-$C$161:$D$161))</f>
        <v>4.957276711858472</v>
      </c>
      <c r="E212" s="169">
        <f t="array" ref="E212">MMULT(MMULT(C116:D116-$C$162:$D$162,$G$177:$H$178),TRANSPOSE(C116:D116-$C$162:$D$162))</f>
        <v>75.907968111895443</v>
      </c>
      <c r="F212" s="177" t="s">
        <v>669</v>
      </c>
    </row>
    <row r="213" spans="2:6">
      <c r="B213" s="6">
        <f t="shared" si="6"/>
        <v>27</v>
      </c>
      <c r="C213" s="65">
        <f t="array" ref="C213">MMULT(MMULT(C117:D117-$C$160:$D$160,$G$171:$H$172),TRANSPOSE(C117:D117-$C$160:$D$160))</f>
        <v>47.280677492735229</v>
      </c>
      <c r="D213" s="68">
        <f t="array" ref="D213">MMULT(MMULT(C117:D117-$C$161:$D$161,$G$174:$H$175),TRANSPOSE(C117:D117-$C$161:$D$161))</f>
        <v>2.4874775898531496</v>
      </c>
      <c r="E213" s="169">
        <f t="array" ref="E213">MMULT(MMULT(C117:D117-$C$162:$D$162,$G$177:$H$178),TRANSPOSE(C117:D117-$C$162:$D$162))</f>
        <v>53.601753299719128</v>
      </c>
      <c r="F213" s="177" t="s">
        <v>669</v>
      </c>
    </row>
    <row r="214" spans="2:6">
      <c r="B214" s="6">
        <f t="shared" si="6"/>
        <v>28</v>
      </c>
      <c r="C214" s="65">
        <f t="array" ref="C214">MMULT(MMULT(C118:D118-$C$160:$D$160,$G$171:$H$172),TRANSPOSE(C118:D118-$C$160:$D$160))</f>
        <v>21.591499150210851</v>
      </c>
      <c r="D214" s="68">
        <f t="array" ref="D214">MMULT(MMULT(C118:D118-$C$161:$D$161,$G$174:$H$175),TRANSPOSE(C118:D118-$C$161:$D$161))</f>
        <v>3.3315445845762115</v>
      </c>
      <c r="E214" s="169">
        <f t="array" ref="E214">MMULT(MMULT(C118:D118-$C$162:$D$162,$G$177:$H$178),TRANSPOSE(C118:D118-$C$162:$D$162))</f>
        <v>46.190598342478303</v>
      </c>
      <c r="F214" s="177" t="s">
        <v>669</v>
      </c>
    </row>
    <row r="215" spans="2:6">
      <c r="B215" s="6">
        <f t="shared" si="6"/>
        <v>29</v>
      </c>
      <c r="C215" s="65">
        <f t="array" ref="C215">MMULT(MMULT(C119:D119-$C$160:$D$160,$G$171:$H$172),TRANSPOSE(C119:D119-$C$160:$D$160))</f>
        <v>10.84937080712943</v>
      </c>
      <c r="D215" s="68">
        <f t="array" ref="D215">MMULT(MMULT(C119:D119-$C$161:$D$161,$G$174:$H$175),TRANSPOSE(C119:D119-$C$161:$D$161))</f>
        <v>4.2210650753021781</v>
      </c>
      <c r="E215" s="169">
        <f t="array" ref="E215">MMULT(MMULT(C119:D119-$C$162:$D$162,$G$177:$H$178),TRANSPOSE(C119:D119-$C$162:$D$162))</f>
        <v>13.372432133788543</v>
      </c>
      <c r="F215" s="177" t="s">
        <v>669</v>
      </c>
    </row>
    <row r="216" spans="2:6">
      <c r="B216" s="6">
        <f t="shared" si="6"/>
        <v>30</v>
      </c>
      <c r="C216" s="65">
        <f t="array" ref="C216">MMULT(MMULT(C120:D120-$C$160:$D$160,$G$171:$H$172),TRANSPOSE(C120:D120-$C$160:$D$160))</f>
        <v>13.760006662611159</v>
      </c>
      <c r="D216" s="68">
        <f t="array" ref="D216">MMULT(MMULT(C120:D120-$C$161:$D$161,$G$174:$H$175),TRANSPOSE(C120:D120-$C$161:$D$161))</f>
        <v>3.927975695716817</v>
      </c>
      <c r="E216" s="169">
        <f t="array" ref="E216">MMULT(MMULT(C120:D120-$C$162:$D$162,$G$177:$H$178),TRANSPOSE(C120:D120-$C$162:$D$162))</f>
        <v>11.763237506545815</v>
      </c>
      <c r="F216" s="177" t="s">
        <v>669</v>
      </c>
    </row>
    <row r="217" spans="2:6">
      <c r="B217" s="6">
        <f t="shared" si="6"/>
        <v>31</v>
      </c>
      <c r="C217" s="65">
        <f t="array" ref="C217">MMULT(MMULT(C121:D121-$C$160:$D$160,$G$171:$H$172),TRANSPOSE(C121:D121-$C$160:$D$160))</f>
        <v>23.864932723803829</v>
      </c>
      <c r="D217" s="68">
        <f t="array" ref="D217">MMULT(MMULT(C121:D121-$C$161:$D$161,$G$174:$H$175),TRANSPOSE(C121:D121-$C$161:$D$161))</f>
        <v>2.4046190940019732</v>
      </c>
      <c r="E217" s="169">
        <f t="array" ref="E217">MMULT(MMULT(C121:D121-$C$162:$D$162,$G$177:$H$178),TRANSPOSE(C121:D121-$C$162:$D$162))</f>
        <v>14.076645098727703</v>
      </c>
      <c r="F217" s="177" t="s">
        <v>669</v>
      </c>
    </row>
    <row r="218" spans="2:6">
      <c r="B218" s="6">
        <f t="shared" si="6"/>
        <v>32</v>
      </c>
      <c r="C218" s="65">
        <f t="array" ref="C218">MMULT(MMULT(C122:D122-$C$160:$D$160,$G$171:$H$172),TRANSPOSE(C122:D122-$C$160:$D$160))</f>
        <v>38.382249063468926</v>
      </c>
      <c r="D218" s="68">
        <f t="array" ref="D218">MMULT(MMULT(C122:D122-$C$161:$D$161,$G$174:$H$175),TRANSPOSE(C122:D122-$C$161:$D$161))</f>
        <v>0.82912004822507757</v>
      </c>
      <c r="E218" s="169">
        <f t="array" ref="E218">MMULT(MMULT(C122:D122-$C$162:$D$162,$G$177:$H$178),TRANSPOSE(C122:D122-$C$162:$D$162))</f>
        <v>20.789463693699876</v>
      </c>
      <c r="F218" s="177" t="s">
        <v>669</v>
      </c>
    </row>
    <row r="219" spans="2:6">
      <c r="B219" s="6">
        <f t="shared" si="6"/>
        <v>33</v>
      </c>
      <c r="C219" s="65">
        <f t="array" ref="C219">MMULT(MMULT(C123:D123-$C$160:$D$160,$G$171:$H$172),TRANSPOSE(C123:D123-$C$160:$D$160))</f>
        <v>48.320884647207329</v>
      </c>
      <c r="D219" s="68">
        <f t="array" ref="D219">MMULT(MMULT(C123:D123-$C$161:$D$161,$G$174:$H$175),TRANSPOSE(C123:D123-$C$161:$D$161))</f>
        <v>0.86253709266762235</v>
      </c>
      <c r="E219" s="169">
        <f t="array" ref="E219">MMULT(MMULT(C123:D123-$C$162:$D$162,$G$177:$H$178),TRANSPOSE(C123:D123-$C$162:$D$162))</f>
        <v>29.519350009195314</v>
      </c>
      <c r="F219" s="177" t="s">
        <v>669</v>
      </c>
    </row>
    <row r="220" spans="2:6">
      <c r="B220" s="6">
        <f t="shared" si="6"/>
        <v>34</v>
      </c>
      <c r="C220" s="65">
        <f t="array" ref="C220">MMULT(MMULT(C124:D124-$C$160:$D$160,$G$171:$H$172),TRANSPOSE(C124:D124-$C$160:$D$160))</f>
        <v>45.239549059644162</v>
      </c>
      <c r="D220" s="68">
        <f t="array" ref="D220">MMULT(MMULT(C124:D124-$C$161:$D$161,$G$174:$H$175),TRANSPOSE(C124:D124-$C$161:$D$161))</f>
        <v>0.79190949948667122</v>
      </c>
      <c r="E220" s="169">
        <f t="array" ref="E220">MMULT(MMULT(C124:D124-$C$162:$D$162,$G$177:$H$178),TRANSPOSE(C124:D124-$C$162:$D$162))</f>
        <v>24.899791057994847</v>
      </c>
      <c r="F220" s="177" t="s">
        <v>669</v>
      </c>
    </row>
    <row r="221" spans="2:6">
      <c r="B221" s="6">
        <f t="shared" si="6"/>
        <v>35</v>
      </c>
      <c r="C221" s="65">
        <f t="array" ref="C221">MMULT(MMULT(C125:D125-$C$160:$D$160,$G$171:$H$172),TRANSPOSE(C125:D125-$C$160:$D$160))</f>
        <v>40.012178556760382</v>
      </c>
      <c r="D221" s="68">
        <f t="array" ref="D221">MMULT(MMULT(C125:D125-$C$161:$D$161,$G$174:$H$175),TRANSPOSE(C125:D125-$C$161:$D$161))</f>
        <v>0.53509174112495239</v>
      </c>
      <c r="E221" s="169">
        <f t="array" ref="E221">MMULT(MMULT(C125:D125-$C$162:$D$162,$G$177:$H$178),TRANSPOSE(C125:D125-$C$162:$D$162))</f>
        <v>23.265320412726147</v>
      </c>
      <c r="F221" s="177" t="s">
        <v>669</v>
      </c>
    </row>
    <row r="222" spans="2:6">
      <c r="B222" s="6">
        <f t="shared" si="6"/>
        <v>36</v>
      </c>
      <c r="C222" s="65">
        <f t="array" ref="C222">MMULT(MMULT(C126:D126-$C$160:$D$160,$G$171:$H$172),TRANSPOSE(C126:D126-$C$160:$D$160))</f>
        <v>35.594645461278247</v>
      </c>
      <c r="D222" s="68">
        <f t="array" ref="D222">MMULT(MMULT(C126:D126-$C$161:$D$161,$G$174:$H$175),TRANSPOSE(C126:D126-$C$161:$D$161))</f>
        <v>0.23986397554653455</v>
      </c>
      <c r="E222" s="169">
        <f t="array" ref="E222">MMULT(MMULT(C126:D126-$C$162:$D$162,$G$177:$H$178),TRANSPOSE(C126:D126-$C$162:$D$162))</f>
        <v>23.668282791776882</v>
      </c>
      <c r="F222" s="177" t="s">
        <v>669</v>
      </c>
    </row>
    <row r="223" spans="2:6">
      <c r="B223" s="6">
        <f t="shared" si="6"/>
        <v>37</v>
      </c>
      <c r="C223" s="65">
        <f t="array" ref="C223">MMULT(MMULT(C127:D127-$C$160:$D$160,$G$171:$H$172),TRANSPOSE(C127:D127-$C$160:$D$160))</f>
        <v>54.138108458601401</v>
      </c>
      <c r="D223" s="68">
        <f t="array" ref="D223">MMULT(MMULT(C127:D127-$C$161:$D$161,$G$174:$H$175),TRANSPOSE(C127:D127-$C$161:$D$161))</f>
        <v>1.7495545287704997</v>
      </c>
      <c r="E223" s="169">
        <f t="array" ref="E223">MMULT(MMULT(C127:D127-$C$162:$D$162,$G$177:$H$178),TRANSPOSE(C127:D127-$C$162:$D$162))</f>
        <v>37.820249842340125</v>
      </c>
      <c r="F223" s="177" t="s">
        <v>669</v>
      </c>
    </row>
    <row r="224" spans="2:6">
      <c r="B224" s="6">
        <f t="shared" si="6"/>
        <v>38</v>
      </c>
      <c r="C224" s="65">
        <f t="array" ref="C224">MMULT(MMULT(C128:D128-$C$160:$D$160,$G$171:$H$172),TRANSPOSE(C128:D128-$C$160:$D$160))</f>
        <v>51.773409719178133</v>
      </c>
      <c r="D224" s="69">
        <f t="array" ref="D224">MMULT(MMULT(C128:D128-$C$161:$D$161,$G$174:$H$175),TRANSPOSE(C128:D128-$C$161:$D$161))</f>
        <v>1.2388075150506157</v>
      </c>
      <c r="E224" s="171">
        <f t="array" ref="E224">MMULT(MMULT(C128:D128-$C$162:$D$162,$G$177:$H$178),TRANSPOSE(C128:D128-$C$162:$D$162))</f>
        <v>28.201372524497341</v>
      </c>
      <c r="F224" s="177" t="s">
        <v>669</v>
      </c>
    </row>
    <row r="225" spans="2:6">
      <c r="B225" s="6">
        <f t="shared" si="6"/>
        <v>39</v>
      </c>
      <c r="C225" s="8">
        <f t="array" ref="C225">MMULT(MMULT(C129:D129-$C$160:$D$160,$G$171:$H$172),TRANSPOSE(C129:D129-$C$160:$D$160))</f>
        <v>16.962428337959714</v>
      </c>
      <c r="D225" s="170">
        <f t="array" ref="D225">MMULT(MMULT(C129:D129-$C$161:$D$161,$G$174:$H$175),TRANSPOSE(C129:D129-$C$161:$D$161))</f>
        <v>60.41980542111726</v>
      </c>
      <c r="E225" s="67">
        <f t="array" ref="E225">MMULT(MMULT(C129:D129-$C$162:$D$162,$G$177:$H$178),TRANSPOSE(C129:D129-$C$162:$D$162))</f>
        <v>0.30121739719764917</v>
      </c>
      <c r="F225" s="177" t="s">
        <v>670</v>
      </c>
    </row>
    <row r="226" spans="2:6">
      <c r="B226" s="6">
        <f t="shared" si="6"/>
        <v>40</v>
      </c>
      <c r="C226" s="8">
        <f t="array" ref="C226">MMULT(MMULT(C130:D130-$C$160:$D$160,$G$171:$H$172),TRANSPOSE(C130:D130-$C$160:$D$160))</f>
        <v>10.535096992417294</v>
      </c>
      <c r="D226" s="65">
        <f t="array" ref="D226">MMULT(MMULT(C130:D130-$C$161:$D$161,$G$174:$H$175),TRANSPOSE(C130:D130-$C$161:$D$161))</f>
        <v>52.532423871569385</v>
      </c>
      <c r="E226" s="68">
        <f t="array" ref="E226">MMULT(MMULT(C130:D130-$C$162:$D$162,$G$177:$H$178),TRANSPOSE(C130:D130-$C$162:$D$162))</f>
        <v>0.11536390227709381</v>
      </c>
      <c r="F226" s="177" t="s">
        <v>670</v>
      </c>
    </row>
    <row r="227" spans="2:6">
      <c r="B227" s="6">
        <f t="shared" si="6"/>
        <v>41</v>
      </c>
      <c r="C227" s="8">
        <f t="array" ref="C227">MMULT(MMULT(C131:D131-$C$160:$D$160,$G$171:$H$172),TRANSPOSE(C131:D131-$C$160:$D$160))</f>
        <v>1.0437315769275379</v>
      </c>
      <c r="D227" s="65">
        <f t="array" ref="D227">MMULT(MMULT(C131:D131-$C$161:$D$161,$G$174:$H$175),TRANSPOSE(C131:D131-$C$161:$D$161))</f>
        <v>31.54062120733677</v>
      </c>
      <c r="E227" s="68">
        <f t="array" ref="E227">MMULT(MMULT(C131:D131-$C$162:$D$162,$G$177:$H$178),TRANSPOSE(C131:D131-$C$162:$D$162))</f>
        <v>0.77753868365501821</v>
      </c>
      <c r="F227" s="177" t="s">
        <v>670</v>
      </c>
    </row>
    <row r="228" spans="2:6">
      <c r="B228" s="6">
        <f t="shared" si="6"/>
        <v>42</v>
      </c>
      <c r="C228" s="8">
        <f t="array" ref="C228">MMULT(MMULT(C132:D132-$C$160:$D$160,$G$171:$H$172),TRANSPOSE(C132:D132-$C$160:$D$160))</f>
        <v>0.88521619729926226</v>
      </c>
      <c r="D228" s="65">
        <f t="array" ref="D228">MMULT(MMULT(C132:D132-$C$161:$D$161,$G$174:$H$175),TRANSPOSE(C132:D132-$C$161:$D$161))</f>
        <v>18.256680072089868</v>
      </c>
      <c r="E228" s="68">
        <f t="array" ref="E228">MMULT(MMULT(C132:D132-$C$162:$D$162,$G$177:$H$178),TRANSPOSE(C132:D132-$C$162:$D$162))</f>
        <v>3.1026549726936108</v>
      </c>
      <c r="F228" s="177" t="s">
        <v>670</v>
      </c>
    </row>
    <row r="229" spans="2:6">
      <c r="B229" s="6">
        <f t="shared" si="6"/>
        <v>43</v>
      </c>
      <c r="C229" s="8">
        <f t="array" ref="C229">MMULT(MMULT(C133:D133-$C$160:$D$160,$G$171:$H$172),TRANSPOSE(C133:D133-$C$160:$D$160))</f>
        <v>30.072389838726227</v>
      </c>
      <c r="D229" s="65">
        <f t="array" ref="D229">MMULT(MMULT(C133:D133-$C$161:$D$161,$G$174:$H$175),TRANSPOSE(C133:D133-$C$161:$D$161))</f>
        <v>82.189213906057006</v>
      </c>
      <c r="E229" s="68">
        <f t="array" ref="E229">MMULT(MMULT(C133:D133-$C$162:$D$162,$G$177:$H$178),TRANSPOSE(C133:D133-$C$162:$D$162))</f>
        <v>2.6430934710175444</v>
      </c>
      <c r="F229" s="177" t="s">
        <v>670</v>
      </c>
    </row>
    <row r="230" spans="2:6">
      <c r="B230" s="6">
        <f t="shared" si="6"/>
        <v>44</v>
      </c>
      <c r="C230" s="8">
        <f t="array" ref="C230">MMULT(MMULT(C134:D134-$C$160:$D$160,$G$171:$H$172),TRANSPOSE(C134:D134-$C$160:$D$160))</f>
        <v>42.964716091668947</v>
      </c>
      <c r="D230" s="65">
        <f t="array" ref="D230">MMULT(MMULT(C134:D134-$C$161:$D$161,$G$174:$H$175),TRANSPOSE(C134:D134-$C$161:$D$161))</f>
        <v>82.34461728026713</v>
      </c>
      <c r="E230" s="68">
        <f t="array" ref="E230">MMULT(MMULT(C134:D134-$C$162:$D$162,$G$177:$H$178),TRANSPOSE(C134:D134-$C$162:$D$162))</f>
        <v>2.8299920390565463</v>
      </c>
      <c r="F230" s="177" t="s">
        <v>670</v>
      </c>
    </row>
    <row r="231" spans="2:6">
      <c r="B231" s="6">
        <f t="shared" si="6"/>
        <v>45</v>
      </c>
      <c r="C231" s="8">
        <f t="array" ref="C231">MMULT(MMULT(C135:D135-$C$160:$D$160,$G$171:$H$172),TRANSPOSE(C135:D135-$C$160:$D$160))</f>
        <v>60.457494890825473</v>
      </c>
      <c r="D231" s="65">
        <f t="array" ref="D231">MMULT(MMULT(C135:D135-$C$161:$D$161,$G$174:$H$175),TRANSPOSE(C135:D135-$C$161:$D$161))</f>
        <v>97.670410442454539</v>
      </c>
      <c r="E231" s="68">
        <f t="array" ref="E231">MMULT(MMULT(C135:D135-$C$162:$D$162,$G$177:$H$178),TRANSPOSE(C135:D135-$C$162:$D$162))</f>
        <v>4.8914440410909457</v>
      </c>
      <c r="F231" s="177" t="s">
        <v>670</v>
      </c>
    </row>
    <row r="232" spans="2:6">
      <c r="B232" s="6">
        <f t="shared" si="6"/>
        <v>46</v>
      </c>
      <c r="C232" s="8">
        <f t="array" ref="C232">MMULT(MMULT(C136:D136-$C$160:$D$160,$G$171:$H$172),TRANSPOSE(C136:D136-$C$160:$D$160))</f>
        <v>34.61587700632537</v>
      </c>
      <c r="D232" s="65">
        <f t="array" ref="D232">MMULT(MMULT(C136:D136-$C$161:$D$161,$G$174:$H$175),TRANSPOSE(C136:D136-$C$161:$D$161))</f>
        <v>75.715375026941089</v>
      </c>
      <c r="E232" s="68">
        <f t="array" ref="E232">MMULT(MMULT(C136:D136-$C$162:$D$162,$G$177:$H$178),TRANSPOSE(C136:D136-$C$162:$D$162))</f>
        <v>1.8026090459609179</v>
      </c>
      <c r="F232" s="177" t="s">
        <v>670</v>
      </c>
    </row>
    <row r="233" spans="2:6">
      <c r="B233" s="6">
        <f t="shared" si="6"/>
        <v>47</v>
      </c>
      <c r="C233" s="8">
        <f t="array" ref="C233">MMULT(MMULT(C137:D137-$C$160:$D$160,$G$171:$H$172),TRANSPOSE(C137:D137-$C$160:$D$160))</f>
        <v>22.768581823133381</v>
      </c>
      <c r="D233" s="65">
        <f t="array" ref="D233">MMULT(MMULT(C137:D137-$C$161:$D$161,$G$174:$H$175),TRANSPOSE(C137:D137-$C$161:$D$161))</f>
        <v>55.430969583313171</v>
      </c>
      <c r="E233" s="68">
        <f t="array" ref="E233">MMULT(MMULT(C137:D137-$C$162:$D$162,$G$177:$H$178),TRANSPOSE(C137:D137-$C$162:$D$162))</f>
        <v>2.8487302652302211</v>
      </c>
      <c r="F233" s="177" t="s">
        <v>670</v>
      </c>
    </row>
    <row r="234" spans="2:6">
      <c r="B234" s="6">
        <f t="shared" si="6"/>
        <v>48</v>
      </c>
      <c r="C234" s="8">
        <f t="array" ref="C234">MMULT(MMULT(C138:D138-$C$160:$D$160,$G$171:$H$172),TRANSPOSE(C138:D138-$C$160:$D$160))</f>
        <v>3.4240512573444946</v>
      </c>
      <c r="D234" s="65">
        <f t="array" ref="D234">MMULT(MMULT(C138:D138-$C$161:$D$161,$G$174:$H$175),TRANSPOSE(C138:D138-$C$161:$D$161))</f>
        <v>31.971414323834033</v>
      </c>
      <c r="E234" s="68">
        <f t="array" ref="E234">MMULT(MMULT(C138:D138-$C$162:$D$162,$G$177:$H$178),TRANSPOSE(C138:D138-$C$162:$D$162))</f>
        <v>1.3738167017712468</v>
      </c>
      <c r="F234" s="177" t="s">
        <v>670</v>
      </c>
    </row>
    <row r="235" spans="2:6">
      <c r="B235" s="6">
        <f t="shared" si="6"/>
        <v>49</v>
      </c>
      <c r="C235" s="8">
        <f t="array" ref="C235">MMULT(MMULT(C139:D139-$C$160:$D$160,$G$171:$H$172),TRANSPOSE(C139:D139-$C$160:$D$160))</f>
        <v>1.105146536837109</v>
      </c>
      <c r="D235" s="65">
        <f t="array" ref="D235">MMULT(MMULT(C139:D139-$C$161:$D$161,$G$174:$H$175),TRANSPOSE(C139:D139-$C$161:$D$161))</f>
        <v>32.484123315941758</v>
      </c>
      <c r="E235" s="68">
        <f t="array" ref="E235">MMULT(MMULT(C139:D139-$C$162:$D$162,$G$177:$H$178),TRANSPOSE(C139:D139-$C$162:$D$162))</f>
        <v>0.73778976265274521</v>
      </c>
      <c r="F235" s="177" t="s">
        <v>670</v>
      </c>
    </row>
    <row r="236" spans="2:6">
      <c r="B236" s="6">
        <f t="shared" si="6"/>
        <v>50</v>
      </c>
      <c r="C236" s="8">
        <f t="array" ref="C236">MMULT(MMULT(C140:D140-$C$160:$D$160,$G$171:$H$172),TRANSPOSE(C140:D140-$C$160:$D$160))</f>
        <v>2.2323197253444613</v>
      </c>
      <c r="D236" s="65">
        <f t="array" ref="D236">MMULT(MMULT(C140:D140-$C$161:$D$161,$G$174:$H$175),TRANSPOSE(C140:D140-$C$161:$D$161))</f>
        <v>28.360147782732511</v>
      </c>
      <c r="E236" s="68">
        <f t="array" ref="E236">MMULT(MMULT(C140:D140-$C$162:$D$162,$G$177:$H$178),TRANSPOSE(C140:D140-$C$162:$D$162))</f>
        <v>1.8364795354371883</v>
      </c>
      <c r="F236" s="177" t="s">
        <v>670</v>
      </c>
    </row>
    <row r="237" spans="2:6">
      <c r="B237" s="6">
        <f t="shared" si="6"/>
        <v>51</v>
      </c>
      <c r="C237" s="8">
        <f t="array" ref="C237">MMULT(MMULT(C141:D141-$C$160:$D$160,$G$171:$H$172),TRANSPOSE(C141:D141-$C$160:$D$160))</f>
        <v>3.4919789253397999</v>
      </c>
      <c r="D237" s="65">
        <f t="array" ref="D237">MMULT(MMULT(C141:D141-$C$161:$D$161,$G$174:$H$175),TRANSPOSE(C141:D141-$C$161:$D$161))</f>
        <v>45.4182795685049</v>
      </c>
      <c r="E237" s="68">
        <f t="array" ref="E237">MMULT(MMULT(C141:D141-$C$162:$D$162,$G$177:$H$178),TRANSPOSE(C141:D141-$C$162:$D$162))</f>
        <v>2.0823972644574549</v>
      </c>
      <c r="F237" s="177" t="s">
        <v>670</v>
      </c>
    </row>
    <row r="238" spans="2:6">
      <c r="B238" s="6">
        <f t="shared" si="6"/>
        <v>52</v>
      </c>
      <c r="C238" s="8">
        <f t="array" ref="C238">MMULT(MMULT(C142:D142-$C$160:$D$160,$G$171:$H$172),TRANSPOSE(C142:D142-$C$160:$D$160))</f>
        <v>13.668799552446137</v>
      </c>
      <c r="D238" s="65">
        <f t="array" ref="D238">MMULT(MMULT(C142:D142-$C$161:$D$161,$G$174:$H$175),TRANSPOSE(C142:D142-$C$161:$D$161))</f>
        <v>62.07326681814699</v>
      </c>
      <c r="E238" s="68">
        <f t="array" ref="E238">MMULT(MMULT(C142:D142-$C$162:$D$162,$G$177:$H$178),TRANSPOSE(C142:D142-$C$162:$D$162))</f>
        <v>1.4306210339884549</v>
      </c>
      <c r="F238" s="177" t="s">
        <v>670</v>
      </c>
    </row>
    <row r="239" spans="2:6">
      <c r="B239" s="6">
        <f t="shared" si="6"/>
        <v>53</v>
      </c>
      <c r="C239" s="8">
        <f t="array" ref="C239">MMULT(MMULT(C143:D143-$C$160:$D$160,$G$171:$H$172),TRANSPOSE(C143:D143-$C$160:$D$160))</f>
        <v>11.629254375566296</v>
      </c>
      <c r="D239" s="65">
        <f t="array" ref="D239">MMULT(MMULT(C143:D143-$C$161:$D$161,$G$174:$H$175),TRANSPOSE(C143:D143-$C$161:$D$161))</f>
        <v>59.924745967843549</v>
      </c>
      <c r="E239" s="68">
        <f t="array" ref="E239">MMULT(MMULT(C143:D143-$C$162:$D$162,$G$177:$H$178),TRANSPOSE(C143:D143-$C$162:$D$162))</f>
        <v>1.6944466352563361</v>
      </c>
      <c r="F239" s="177" t="s">
        <v>670</v>
      </c>
    </row>
    <row r="240" spans="2:6">
      <c r="B240" s="6">
        <f t="shared" si="6"/>
        <v>54</v>
      </c>
      <c r="C240" s="8">
        <f t="array" ref="C240">MMULT(MMULT(C144:D144-$C$160:$D$160,$G$171:$H$172),TRANSPOSE(C144:D144-$C$160:$D$160))</f>
        <v>3.3754410155491668</v>
      </c>
      <c r="D240" s="65">
        <f t="array" ref="D240">MMULT(MMULT(C144:D144-$C$161:$D$161,$G$174:$H$175),TRANSPOSE(C144:D144-$C$161:$D$161))</f>
        <v>28.465943133932079</v>
      </c>
      <c r="E240" s="68">
        <f t="array" ref="E240">MMULT(MMULT(C144:D144-$C$162:$D$162,$G$177:$H$178),TRANSPOSE(C144:D144-$C$162:$D$162))</f>
        <v>2.6755614942962627</v>
      </c>
      <c r="F240" s="177" t="s">
        <v>670</v>
      </c>
    </row>
    <row r="241" spans="1:13">
      <c r="B241" s="6">
        <f t="shared" si="6"/>
        <v>55</v>
      </c>
      <c r="C241" s="8">
        <f t="array" ref="C241">MMULT(MMULT(C145:D145-$C$160:$D$160,$G$171:$H$172),TRANSPOSE(C145:D145-$C$160:$D$160))</f>
        <v>9.6140929428002533</v>
      </c>
      <c r="D241" s="65">
        <f t="array" ref="D241">MMULT(MMULT(C145:D145-$C$161:$D$161,$G$174:$H$175),TRANSPOSE(C145:D145-$C$161:$D$161))</f>
        <v>51.30760765386222</v>
      </c>
      <c r="E241" s="68">
        <f t="array" ref="E241">MMULT(MMULT(C145:D145-$C$162:$D$162,$G$177:$H$178),TRANSPOSE(C145:D145-$C$162:$D$162))</f>
        <v>0.11897271953057466</v>
      </c>
      <c r="F241" s="177" t="s">
        <v>670</v>
      </c>
    </row>
    <row r="242" spans="1:13">
      <c r="B242" s="6">
        <f t="shared" si="6"/>
        <v>56</v>
      </c>
      <c r="C242" s="8">
        <f t="array" ref="C242">MMULT(MMULT(C146:D146-$C$160:$D$160,$G$171:$H$172),TRANSPOSE(C146:D146-$C$160:$D$160))</f>
        <v>0.34484713735541161</v>
      </c>
      <c r="D242" s="65">
        <f t="array" ref="D242">MMULT(MMULT(C146:D146-$C$161:$D$161,$G$174:$H$175),TRANSPOSE(C146:D146-$C$161:$D$161))</f>
        <v>23.686121352026181</v>
      </c>
      <c r="E242" s="68">
        <f t="array" ref="E242">MMULT(MMULT(C146:D146-$C$162:$D$162,$G$177:$H$178),TRANSPOSE(C146:D146-$C$162:$D$162))</f>
        <v>1.9159364200828835</v>
      </c>
      <c r="F242" s="177" t="s">
        <v>670</v>
      </c>
    </row>
    <row r="243" spans="1:13">
      <c r="B243" s="6">
        <f t="shared" si="6"/>
        <v>57</v>
      </c>
      <c r="C243" s="8">
        <f t="array" ref="C243">MMULT(MMULT(C147:D147-$C$160:$D$160,$G$171:$H$172),TRANSPOSE(C147:D147-$C$160:$D$160))</f>
        <v>2.7641259865588403</v>
      </c>
      <c r="D243" s="65">
        <f t="array" ref="D243">MMULT(MMULT(C147:D147-$C$161:$D$161,$G$174:$H$175),TRANSPOSE(C147:D147-$C$161:$D$161))</f>
        <v>45.696013544087009</v>
      </c>
      <c r="E243" s="69">
        <f t="array" ref="E243">MMULT(MMULT(C147:D147-$C$162:$D$162,$G$177:$H$178),TRANSPOSE(C147:D147-$C$162:$D$162))</f>
        <v>4.8213346143472986</v>
      </c>
      <c r="F243" s="177" t="s">
        <v>670</v>
      </c>
    </row>
    <row r="247" spans="1:13">
      <c r="A247" s="24" t="s">
        <v>776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50" spans="1:13">
      <c r="C250" s="6" t="s">
        <v>763</v>
      </c>
    </row>
    <row r="251" spans="1:13">
      <c r="C251" s="177" t="s">
        <v>668</v>
      </c>
      <c r="D251" s="177" t="s">
        <v>669</v>
      </c>
      <c r="E251" s="177" t="s">
        <v>670</v>
      </c>
    </row>
    <row r="252" spans="1:13">
      <c r="B252" s="6" t="s">
        <v>777</v>
      </c>
      <c r="C252" s="178">
        <v>0.11</v>
      </c>
      <c r="D252" s="178">
        <v>0.03</v>
      </c>
      <c r="E252" s="178">
        <v>0.86</v>
      </c>
    </row>
    <row r="253" spans="1:13">
      <c r="B253" s="6" t="s">
        <v>778</v>
      </c>
      <c r="C253" s="8">
        <f>LN(D172)</f>
        <v>-3.1128353743447361</v>
      </c>
      <c r="D253" s="8">
        <f>LN(D175)</f>
        <v>-1.9822708857328397</v>
      </c>
      <c r="E253" s="8">
        <f>LN(D178)</f>
        <v>-2.4355270839410745</v>
      </c>
    </row>
    <row r="254" spans="1:13">
      <c r="B254" s="6" t="s">
        <v>779</v>
      </c>
      <c r="C254" s="8">
        <f>2*LN(C252)</f>
        <v>-4.4145498263794414</v>
      </c>
      <c r="D254" s="8">
        <f>2*LN(D252)</f>
        <v>-7.0131157946399636</v>
      </c>
      <c r="E254" s="8">
        <f>2*LN(E252)</f>
        <v>-0.30164577946916732</v>
      </c>
    </row>
    <row r="255" spans="1:13">
      <c r="B255" s="9"/>
    </row>
    <row r="258" spans="1:13">
      <c r="A258" s="24" t="s">
        <v>781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61" spans="1:13">
      <c r="B261" s="177" t="s">
        <v>783</v>
      </c>
      <c r="C261" s="177"/>
      <c r="D261" s="177"/>
      <c r="E261" s="177"/>
      <c r="F261" s="177"/>
    </row>
    <row r="262" spans="1:13">
      <c r="B262" s="6" t="s">
        <v>707</v>
      </c>
      <c r="C262" s="6" t="s">
        <v>668</v>
      </c>
      <c r="D262" s="6" t="s">
        <v>669</v>
      </c>
      <c r="E262" s="6" t="s">
        <v>670</v>
      </c>
      <c r="F262" s="6" t="s">
        <v>709</v>
      </c>
      <c r="H262" s="21"/>
      <c r="I262" s="21"/>
      <c r="J262" s="21"/>
      <c r="K262" s="21"/>
    </row>
    <row r="263" spans="1:13">
      <c r="B263" s="6">
        <v>1</v>
      </c>
      <c r="C263" s="67">
        <f t="shared" ref="C263:E282" si="7">C$253+C187-C$254</f>
        <v>5.2300568790592283</v>
      </c>
      <c r="D263" s="169">
        <f t="shared" si="7"/>
        <v>15.758598152432871</v>
      </c>
      <c r="E263" s="8">
        <f t="shared" si="7"/>
        <v>7.4665808240849803</v>
      </c>
      <c r="F263" s="177" t="s">
        <v>668</v>
      </c>
      <c r="H263" s="21"/>
      <c r="I263" s="21"/>
      <c r="J263" s="21"/>
      <c r="K263" s="21"/>
    </row>
    <row r="264" spans="1:13">
      <c r="B264" s="6">
        <f t="shared" ref="B264:B319" si="8">B263+1</f>
        <v>2</v>
      </c>
      <c r="C264" s="68">
        <f t="shared" si="7"/>
        <v>3.1251945879522873</v>
      </c>
      <c r="D264" s="169">
        <f t="shared" si="7"/>
        <v>20.523164989337296</v>
      </c>
      <c r="E264" s="8">
        <f t="shared" si="7"/>
        <v>1.8167897178367813</v>
      </c>
      <c r="F264" s="177" t="s">
        <v>668</v>
      </c>
      <c r="H264" s="21"/>
      <c r="I264" s="21"/>
      <c r="J264" s="21"/>
      <c r="K264" s="21"/>
    </row>
    <row r="265" spans="1:13">
      <c r="B265" s="6">
        <f t="shared" si="8"/>
        <v>3</v>
      </c>
      <c r="C265" s="68">
        <f t="shared" si="7"/>
        <v>6.4288276540610658</v>
      </c>
      <c r="D265" s="169">
        <f t="shared" si="7"/>
        <v>54.190397428981328</v>
      </c>
      <c r="E265" s="8">
        <f t="shared" si="7"/>
        <v>-0.15917422184075464</v>
      </c>
      <c r="F265" s="177" t="s">
        <v>668</v>
      </c>
      <c r="H265" s="21"/>
      <c r="I265" s="21"/>
      <c r="J265" s="21"/>
      <c r="K265" s="21"/>
    </row>
    <row r="266" spans="1:13">
      <c r="B266" s="6">
        <f t="shared" si="8"/>
        <v>4</v>
      </c>
      <c r="C266" s="68">
        <f t="shared" si="7"/>
        <v>5.035437109949517</v>
      </c>
      <c r="D266" s="169">
        <f t="shared" si="7"/>
        <v>53.332884907530399</v>
      </c>
      <c r="E266" s="8">
        <f t="shared" si="7"/>
        <v>1.9967494782944095</v>
      </c>
      <c r="F266" s="177" t="s">
        <v>668</v>
      </c>
      <c r="H266" s="21"/>
      <c r="I266" s="21"/>
      <c r="J266" s="21"/>
      <c r="K266" s="21"/>
    </row>
    <row r="267" spans="1:13">
      <c r="B267" s="6">
        <f t="shared" si="8"/>
        <v>5</v>
      </c>
      <c r="C267" s="68">
        <f t="shared" si="7"/>
        <v>4.2281902450185491</v>
      </c>
      <c r="D267" s="169">
        <f t="shared" si="7"/>
        <v>22.222514007440832</v>
      </c>
      <c r="E267" s="8">
        <f t="shared" si="7"/>
        <v>5.4543534639970854</v>
      </c>
      <c r="F267" s="177" t="s">
        <v>668</v>
      </c>
      <c r="H267" s="21"/>
      <c r="I267" s="21"/>
      <c r="J267" s="21"/>
      <c r="K267" s="21"/>
    </row>
    <row r="268" spans="1:13">
      <c r="B268" s="6">
        <f t="shared" si="8"/>
        <v>6</v>
      </c>
      <c r="C268" s="68">
        <f t="shared" si="7"/>
        <v>2.2600840714225008</v>
      </c>
      <c r="D268" s="169">
        <f t="shared" si="7"/>
        <v>23.855048789013821</v>
      </c>
      <c r="E268" s="8">
        <f t="shared" si="7"/>
        <v>1.5506136912430237</v>
      </c>
      <c r="F268" s="177" t="s">
        <v>668</v>
      </c>
      <c r="H268" s="21"/>
      <c r="I268" s="21"/>
      <c r="J268" s="21"/>
      <c r="K268" s="21"/>
    </row>
    <row r="269" spans="1:13">
      <c r="B269" s="6">
        <f t="shared" si="8"/>
        <v>7</v>
      </c>
      <c r="C269" s="68">
        <f t="shared" si="7"/>
        <v>6.0184616596396356</v>
      </c>
      <c r="D269" s="169">
        <f t="shared" si="7"/>
        <v>35.869795675264768</v>
      </c>
      <c r="E269" s="8">
        <f t="shared" si="7"/>
        <v>0.57430427970093656</v>
      </c>
      <c r="F269" s="177" t="s">
        <v>668</v>
      </c>
      <c r="H269" s="21"/>
      <c r="I269" s="21"/>
      <c r="J269" s="21"/>
      <c r="K269" s="21"/>
    </row>
    <row r="270" spans="1:13">
      <c r="B270" s="6">
        <f t="shared" si="8"/>
        <v>8</v>
      </c>
      <c r="C270" s="68">
        <f t="shared" si="7"/>
        <v>5.9742093422416147</v>
      </c>
      <c r="D270" s="169">
        <f t="shared" si="7"/>
        <v>22.764008842528238</v>
      </c>
      <c r="E270" s="8">
        <f t="shared" si="7"/>
        <v>8.2720868718914602</v>
      </c>
      <c r="F270" s="177" t="s">
        <v>668</v>
      </c>
      <c r="H270" s="21"/>
      <c r="I270" s="21"/>
      <c r="J270" s="21"/>
      <c r="K270" s="21"/>
    </row>
    <row r="271" spans="1:13">
      <c r="B271" s="6">
        <f t="shared" si="8"/>
        <v>9</v>
      </c>
      <c r="C271" s="68">
        <f t="shared" si="7"/>
        <v>4.6168560308483206</v>
      </c>
      <c r="D271" s="169">
        <f t="shared" si="7"/>
        <v>29.321189791165196</v>
      </c>
      <c r="E271" s="8">
        <f t="shared" si="7"/>
        <v>4.7412723502624665</v>
      </c>
      <c r="F271" s="177" t="s">
        <v>668</v>
      </c>
      <c r="H271" s="21"/>
      <c r="I271" s="21"/>
      <c r="J271" s="21"/>
      <c r="K271" s="21"/>
    </row>
    <row r="272" spans="1:13">
      <c r="B272" s="6">
        <f t="shared" si="8"/>
        <v>10</v>
      </c>
      <c r="C272" s="68">
        <f t="shared" si="7"/>
        <v>1.5715977269263437</v>
      </c>
      <c r="D272" s="169">
        <f t="shared" si="7"/>
        <v>31.826851518644752</v>
      </c>
      <c r="E272" s="8">
        <f t="shared" si="7"/>
        <v>0.71572866312061634</v>
      </c>
      <c r="F272" s="177" t="s">
        <v>668</v>
      </c>
      <c r="H272" s="21"/>
      <c r="I272" s="21"/>
      <c r="J272" s="21"/>
      <c r="K272" s="21"/>
    </row>
    <row r="273" spans="2:11">
      <c r="B273" s="6">
        <f t="shared" si="8"/>
        <v>11</v>
      </c>
      <c r="C273" s="68">
        <f t="shared" si="7"/>
        <v>2.1742528584708922</v>
      </c>
      <c r="D273" s="169">
        <f t="shared" si="7"/>
        <v>34.898312016722052</v>
      </c>
      <c r="E273" s="8">
        <f t="shared" si="7"/>
        <v>2.4736240136410781</v>
      </c>
      <c r="F273" s="177" t="s">
        <v>668</v>
      </c>
      <c r="H273" s="21"/>
      <c r="I273" s="21"/>
      <c r="J273" s="21"/>
      <c r="K273" s="21"/>
    </row>
    <row r="274" spans="2:11">
      <c r="B274" s="6">
        <f t="shared" si="8"/>
        <v>12</v>
      </c>
      <c r="C274" s="68">
        <f t="shared" si="7"/>
        <v>1.5052547360665618</v>
      </c>
      <c r="D274" s="169">
        <f t="shared" si="7"/>
        <v>33.871812624035876</v>
      </c>
      <c r="E274" s="8">
        <f t="shared" si="7"/>
        <v>0.60820487859957972</v>
      </c>
      <c r="F274" s="177" t="s">
        <v>668</v>
      </c>
      <c r="H274" s="21"/>
      <c r="I274" s="21"/>
      <c r="J274" s="21"/>
      <c r="K274" s="21"/>
    </row>
    <row r="275" spans="2:11">
      <c r="B275" s="6">
        <f t="shared" si="8"/>
        <v>13</v>
      </c>
      <c r="C275" s="68">
        <f t="shared" si="7"/>
        <v>3.0340335602009847</v>
      </c>
      <c r="D275" s="169">
        <f t="shared" si="7"/>
        <v>46.427396998676656</v>
      </c>
      <c r="E275" s="8">
        <f t="shared" si="7"/>
        <v>2.656990758965398</v>
      </c>
      <c r="F275" s="177" t="s">
        <v>668</v>
      </c>
      <c r="H275" s="21"/>
      <c r="I275" s="21"/>
      <c r="J275" s="21"/>
      <c r="K275" s="21"/>
    </row>
    <row r="276" spans="2:11">
      <c r="B276" s="6">
        <f t="shared" si="8"/>
        <v>14</v>
      </c>
      <c r="C276" s="68">
        <f t="shared" si="7"/>
        <v>2.4918789591870674</v>
      </c>
      <c r="D276" s="169">
        <f t="shared" si="7"/>
        <v>24.136932194676902</v>
      </c>
      <c r="E276" s="8">
        <f t="shared" si="7"/>
        <v>1.1267967914862045</v>
      </c>
      <c r="F276" s="177" t="s">
        <v>668</v>
      </c>
      <c r="H276" s="21"/>
      <c r="I276" s="21"/>
      <c r="J276" s="21"/>
      <c r="K276" s="21"/>
    </row>
    <row r="277" spans="2:11">
      <c r="B277" s="6">
        <f t="shared" si="8"/>
        <v>15</v>
      </c>
      <c r="C277" s="68">
        <f t="shared" si="7"/>
        <v>1.5467758475763014</v>
      </c>
      <c r="D277" s="169">
        <f t="shared" si="7"/>
        <v>34.172583283138351</v>
      </c>
      <c r="E277" s="8">
        <f t="shared" si="7"/>
        <v>0.7496144067026298</v>
      </c>
      <c r="F277" s="177" t="s">
        <v>668</v>
      </c>
      <c r="H277" s="21"/>
      <c r="I277" s="21"/>
      <c r="J277" s="21"/>
      <c r="K277" s="21"/>
    </row>
    <row r="278" spans="2:11">
      <c r="B278" s="6">
        <f t="shared" si="8"/>
        <v>16</v>
      </c>
      <c r="C278" s="68">
        <f t="shared" si="7"/>
        <v>1.7181480586363658</v>
      </c>
      <c r="D278" s="169">
        <f t="shared" si="7"/>
        <v>29.39926555385842</v>
      </c>
      <c r="E278" s="8">
        <f t="shared" si="7"/>
        <v>0.74132306348026744</v>
      </c>
      <c r="F278" s="177" t="s">
        <v>668</v>
      </c>
      <c r="H278" s="21"/>
      <c r="I278" s="21"/>
      <c r="J278" s="21"/>
      <c r="K278" s="21"/>
    </row>
    <row r="279" spans="2:11">
      <c r="B279" s="6">
        <f t="shared" si="8"/>
        <v>17</v>
      </c>
      <c r="C279" s="68">
        <f t="shared" si="7"/>
        <v>1.867362588687568</v>
      </c>
      <c r="D279" s="169">
        <f t="shared" si="7"/>
        <v>38.312918629158247</v>
      </c>
      <c r="E279" s="8">
        <f t="shared" si="7"/>
        <v>1.5146472383296385</v>
      </c>
      <c r="F279" s="177" t="s">
        <v>668</v>
      </c>
      <c r="H279" s="21"/>
      <c r="I279" s="21"/>
      <c r="J279" s="21"/>
      <c r="K279" s="21"/>
    </row>
    <row r="280" spans="2:11">
      <c r="B280" s="6">
        <f t="shared" si="8"/>
        <v>18</v>
      </c>
      <c r="C280" s="68">
        <f t="shared" si="7"/>
        <v>2.1536632508069746</v>
      </c>
      <c r="D280" s="169">
        <f t="shared" si="7"/>
        <v>35.279320975743957</v>
      </c>
      <c r="E280" s="8">
        <f t="shared" si="7"/>
        <v>2.473198050081677</v>
      </c>
      <c r="F280" s="177" t="s">
        <v>668</v>
      </c>
      <c r="H280" s="21"/>
      <c r="I280" s="21"/>
      <c r="J280" s="21"/>
      <c r="K280" s="21"/>
    </row>
    <row r="281" spans="2:11">
      <c r="B281" s="6">
        <f t="shared" si="8"/>
        <v>19</v>
      </c>
      <c r="C281" s="69">
        <f t="shared" si="7"/>
        <v>1.7522894219076588</v>
      </c>
      <c r="D281" s="171">
        <f t="shared" si="7"/>
        <v>34.938885781005524</v>
      </c>
      <c r="E281" s="8">
        <f t="shared" si="7"/>
        <v>1.406023828188552</v>
      </c>
      <c r="F281" s="177" t="s">
        <v>668</v>
      </c>
      <c r="H281" s="21"/>
      <c r="I281" s="21"/>
      <c r="J281" s="21"/>
      <c r="K281" s="21"/>
    </row>
    <row r="282" spans="2:11">
      <c r="B282" s="6">
        <f t="shared" si="8"/>
        <v>20</v>
      </c>
      <c r="C282" s="170">
        <f t="shared" si="7"/>
        <v>48.051325999543572</v>
      </c>
      <c r="D282" s="67">
        <f t="shared" si="7"/>
        <v>6.3923027576775482</v>
      </c>
      <c r="E282" s="169">
        <f t="shared" si="7"/>
        <v>40.4482865343968</v>
      </c>
      <c r="F282" s="177" t="s">
        <v>669</v>
      </c>
      <c r="H282" s="21"/>
      <c r="I282" s="21"/>
      <c r="J282" s="21"/>
      <c r="K282" s="21"/>
    </row>
    <row r="283" spans="2:11">
      <c r="B283" s="6">
        <f t="shared" si="8"/>
        <v>21</v>
      </c>
      <c r="C283" s="65">
        <f t="shared" ref="C283:E302" si="9">C$253+C207-C$254</f>
        <v>29.589447152816067</v>
      </c>
      <c r="D283" s="68">
        <f t="shared" si="9"/>
        <v>5.2285383420815936</v>
      </c>
      <c r="E283" s="169">
        <f t="shared" si="9"/>
        <v>21.076845733407609</v>
      </c>
      <c r="F283" s="177" t="s">
        <v>669</v>
      </c>
      <c r="H283" s="21"/>
      <c r="I283" s="21"/>
      <c r="J283" s="21"/>
      <c r="K283" s="21"/>
    </row>
    <row r="284" spans="2:11">
      <c r="B284" s="6">
        <f t="shared" si="8"/>
        <v>22</v>
      </c>
      <c r="C284" s="65">
        <f t="shared" si="9"/>
        <v>35.886272644606784</v>
      </c>
      <c r="D284" s="68">
        <f t="shared" si="9"/>
        <v>5.5554318778064582</v>
      </c>
      <c r="E284" s="169">
        <f t="shared" si="9"/>
        <v>18.901460571847146</v>
      </c>
      <c r="F284" s="177" t="s">
        <v>669</v>
      </c>
      <c r="H284" s="21"/>
      <c r="I284" s="21"/>
      <c r="J284" s="21"/>
      <c r="K284" s="21"/>
    </row>
    <row r="285" spans="2:11">
      <c r="B285" s="6">
        <f t="shared" si="8"/>
        <v>23</v>
      </c>
      <c r="C285" s="65">
        <f t="shared" si="9"/>
        <v>62.804196806391751</v>
      </c>
      <c r="D285" s="68">
        <f t="shared" si="9"/>
        <v>7.4994806369327778</v>
      </c>
      <c r="E285" s="169">
        <f t="shared" si="9"/>
        <v>25.781896638030172</v>
      </c>
      <c r="F285" s="177" t="s">
        <v>669</v>
      </c>
      <c r="H285" s="21"/>
      <c r="I285" s="21"/>
      <c r="J285" s="21"/>
      <c r="K285" s="21"/>
    </row>
    <row r="286" spans="2:11">
      <c r="B286" s="6">
        <f t="shared" si="8"/>
        <v>24</v>
      </c>
      <c r="C286" s="65">
        <f t="shared" si="9"/>
        <v>28.702779994606662</v>
      </c>
      <c r="D286" s="68">
        <f t="shared" si="9"/>
        <v>6.5080429543215761</v>
      </c>
      <c r="E286" s="169">
        <f t="shared" si="9"/>
        <v>43.097542086193329</v>
      </c>
      <c r="F286" s="177" t="s">
        <v>669</v>
      </c>
      <c r="H286" s="21"/>
      <c r="I286" s="21"/>
      <c r="J286" s="21"/>
      <c r="K286" s="21"/>
    </row>
    <row r="287" spans="2:11">
      <c r="B287" s="6">
        <f t="shared" si="8"/>
        <v>25</v>
      </c>
      <c r="C287" s="65">
        <f t="shared" si="9"/>
        <v>25.088172157173791</v>
      </c>
      <c r="D287" s="68">
        <f t="shared" si="9"/>
        <v>9.4244297324419861</v>
      </c>
      <c r="E287" s="169">
        <f t="shared" si="9"/>
        <v>52.046463161021777</v>
      </c>
      <c r="F287" s="177" t="s">
        <v>669</v>
      </c>
      <c r="H287" s="21"/>
      <c r="I287" s="21"/>
      <c r="J287" s="21"/>
      <c r="K287" s="21"/>
    </row>
    <row r="288" spans="2:11">
      <c r="B288" s="6">
        <f t="shared" si="8"/>
        <v>26</v>
      </c>
      <c r="C288" s="65">
        <f t="shared" si="9"/>
        <v>41.937521795221564</v>
      </c>
      <c r="D288" s="68">
        <f t="shared" si="9"/>
        <v>9.9881216207655967</v>
      </c>
      <c r="E288" s="169">
        <f t="shared" si="9"/>
        <v>73.774086807423544</v>
      </c>
      <c r="F288" s="177" t="s">
        <v>669</v>
      </c>
      <c r="H288" s="21"/>
      <c r="I288" s="21"/>
      <c r="J288" s="21"/>
      <c r="K288" s="21"/>
    </row>
    <row r="289" spans="2:11">
      <c r="B289" s="6">
        <f t="shared" si="8"/>
        <v>27</v>
      </c>
      <c r="C289" s="65">
        <f t="shared" si="9"/>
        <v>48.582391944769938</v>
      </c>
      <c r="D289" s="68">
        <f t="shared" si="9"/>
        <v>7.5183224987602735</v>
      </c>
      <c r="E289" s="169">
        <f t="shared" si="9"/>
        <v>51.467871995247222</v>
      </c>
      <c r="F289" s="177" t="s">
        <v>669</v>
      </c>
      <c r="H289" s="21"/>
      <c r="I289" s="21"/>
      <c r="J289" s="21"/>
      <c r="K289" s="21"/>
    </row>
    <row r="290" spans="2:11">
      <c r="B290" s="6">
        <f t="shared" si="8"/>
        <v>28</v>
      </c>
      <c r="C290" s="65">
        <f t="shared" si="9"/>
        <v>22.893213602245556</v>
      </c>
      <c r="D290" s="68">
        <f t="shared" si="9"/>
        <v>8.3623894934833345</v>
      </c>
      <c r="E290" s="169">
        <f t="shared" si="9"/>
        <v>44.056717038006397</v>
      </c>
      <c r="F290" s="177" t="s">
        <v>669</v>
      </c>
      <c r="H290" s="21"/>
      <c r="I290" s="21"/>
      <c r="J290" s="21"/>
      <c r="K290" s="21"/>
    </row>
    <row r="291" spans="2:11">
      <c r="B291" s="6">
        <f t="shared" si="8"/>
        <v>29</v>
      </c>
      <c r="C291" s="65">
        <f t="shared" si="9"/>
        <v>12.151085259164136</v>
      </c>
      <c r="D291" s="68">
        <f t="shared" si="9"/>
        <v>9.251909984209302</v>
      </c>
      <c r="E291" s="169">
        <f t="shared" si="9"/>
        <v>11.238550829316635</v>
      </c>
      <c r="F291" s="177" t="s">
        <v>669</v>
      </c>
      <c r="H291" s="21"/>
      <c r="I291" s="21"/>
      <c r="J291" s="21"/>
      <c r="K291" s="21"/>
    </row>
    <row r="292" spans="2:11">
      <c r="B292" s="6">
        <f t="shared" si="8"/>
        <v>30</v>
      </c>
      <c r="C292" s="65">
        <f t="shared" si="9"/>
        <v>15.061721114645866</v>
      </c>
      <c r="D292" s="68">
        <f t="shared" si="9"/>
        <v>8.9588206046239414</v>
      </c>
      <c r="E292" s="169">
        <f t="shared" si="9"/>
        <v>9.6293562020739074</v>
      </c>
      <c r="F292" s="177" t="s">
        <v>669</v>
      </c>
      <c r="H292" s="21"/>
      <c r="I292" s="21"/>
      <c r="J292" s="21"/>
      <c r="K292" s="21"/>
    </row>
    <row r="293" spans="2:11">
      <c r="B293" s="6">
        <f t="shared" si="8"/>
        <v>31</v>
      </c>
      <c r="C293" s="65">
        <f t="shared" si="9"/>
        <v>25.166647175838534</v>
      </c>
      <c r="D293" s="68">
        <f t="shared" si="9"/>
        <v>7.4354640029090966</v>
      </c>
      <c r="E293" s="169">
        <f t="shared" si="9"/>
        <v>11.942763794255795</v>
      </c>
      <c r="F293" s="177" t="s">
        <v>669</v>
      </c>
      <c r="H293" s="21"/>
      <c r="I293" s="21"/>
      <c r="J293" s="21"/>
      <c r="K293" s="21"/>
    </row>
    <row r="294" spans="2:11">
      <c r="B294" s="6">
        <f t="shared" si="8"/>
        <v>32</v>
      </c>
      <c r="C294" s="65">
        <f t="shared" si="9"/>
        <v>39.683963515503635</v>
      </c>
      <c r="D294" s="68">
        <f t="shared" si="9"/>
        <v>5.8599649571322017</v>
      </c>
      <c r="E294" s="169">
        <f t="shared" si="9"/>
        <v>18.65558238922797</v>
      </c>
      <c r="F294" s="177" t="s">
        <v>669</v>
      </c>
      <c r="H294" s="21"/>
      <c r="I294" s="21"/>
      <c r="J294" s="21"/>
      <c r="K294" s="21"/>
    </row>
    <row r="295" spans="2:11">
      <c r="B295" s="6">
        <f t="shared" si="8"/>
        <v>33</v>
      </c>
      <c r="C295" s="65">
        <f t="shared" si="9"/>
        <v>49.622599099242038</v>
      </c>
      <c r="D295" s="68">
        <f t="shared" si="9"/>
        <v>5.8933820015747465</v>
      </c>
      <c r="E295" s="169">
        <f t="shared" si="9"/>
        <v>27.385468704723408</v>
      </c>
      <c r="F295" s="177" t="s">
        <v>669</v>
      </c>
      <c r="H295" s="21"/>
      <c r="I295" s="21"/>
      <c r="J295" s="21"/>
      <c r="K295" s="21"/>
    </row>
    <row r="296" spans="2:11">
      <c r="B296" s="6">
        <f t="shared" si="8"/>
        <v>34</v>
      </c>
      <c r="C296" s="65">
        <f t="shared" si="9"/>
        <v>46.541263511678871</v>
      </c>
      <c r="D296" s="68">
        <f t="shared" si="9"/>
        <v>5.822754408393795</v>
      </c>
      <c r="E296" s="169">
        <f t="shared" si="9"/>
        <v>22.765909753522941</v>
      </c>
      <c r="F296" s="177" t="s">
        <v>669</v>
      </c>
      <c r="H296" s="21"/>
      <c r="I296" s="21"/>
      <c r="J296" s="21"/>
      <c r="K296" s="21"/>
    </row>
    <row r="297" spans="2:11">
      <c r="B297" s="6">
        <f t="shared" si="8"/>
        <v>35</v>
      </c>
      <c r="C297" s="65">
        <f t="shared" si="9"/>
        <v>41.313893008795091</v>
      </c>
      <c r="D297" s="68">
        <f t="shared" si="9"/>
        <v>5.5659366500320768</v>
      </c>
      <c r="E297" s="169">
        <f t="shared" si="9"/>
        <v>21.131439108254241</v>
      </c>
      <c r="F297" s="177" t="s">
        <v>669</v>
      </c>
      <c r="H297" s="21"/>
      <c r="I297" s="21"/>
      <c r="J297" s="21"/>
      <c r="K297" s="21"/>
    </row>
    <row r="298" spans="2:11">
      <c r="B298" s="6">
        <f t="shared" si="8"/>
        <v>36</v>
      </c>
      <c r="C298" s="65">
        <f t="shared" si="9"/>
        <v>36.896359913312956</v>
      </c>
      <c r="D298" s="68">
        <f t="shared" si="9"/>
        <v>5.2707088844536587</v>
      </c>
      <c r="E298" s="169">
        <f t="shared" si="9"/>
        <v>21.534401487304976</v>
      </c>
      <c r="F298" s="177" t="s">
        <v>669</v>
      </c>
      <c r="H298" s="21"/>
      <c r="I298" s="21"/>
      <c r="J298" s="21"/>
      <c r="K298" s="21"/>
    </row>
    <row r="299" spans="2:11">
      <c r="B299" s="6">
        <f t="shared" si="8"/>
        <v>37</v>
      </c>
      <c r="C299" s="65">
        <f t="shared" si="9"/>
        <v>55.43982291063611</v>
      </c>
      <c r="D299" s="68">
        <f t="shared" si="9"/>
        <v>6.7803994376776231</v>
      </c>
      <c r="E299" s="169">
        <f t="shared" si="9"/>
        <v>35.686368537868219</v>
      </c>
      <c r="F299" s="177" t="s">
        <v>669</v>
      </c>
      <c r="H299" s="21"/>
      <c r="I299" s="21"/>
      <c r="J299" s="21"/>
      <c r="K299" s="21"/>
    </row>
    <row r="300" spans="2:11">
      <c r="B300" s="6">
        <f t="shared" si="8"/>
        <v>38</v>
      </c>
      <c r="C300" s="65">
        <f t="shared" si="9"/>
        <v>53.075124171212842</v>
      </c>
      <c r="D300" s="69">
        <f t="shared" si="9"/>
        <v>6.2696524239577398</v>
      </c>
      <c r="E300" s="171">
        <f t="shared" si="9"/>
        <v>26.067491220025435</v>
      </c>
      <c r="F300" s="177" t="s">
        <v>669</v>
      </c>
      <c r="H300" s="21"/>
      <c r="I300" s="21"/>
      <c r="J300" s="21"/>
      <c r="K300" s="21"/>
    </row>
    <row r="301" spans="2:11">
      <c r="B301" s="6">
        <f t="shared" si="8"/>
        <v>39</v>
      </c>
      <c r="C301" s="8">
        <f t="shared" si="9"/>
        <v>18.26414278999442</v>
      </c>
      <c r="D301" s="170">
        <f t="shared" si="9"/>
        <v>65.450650330024388</v>
      </c>
      <c r="E301" s="67">
        <f t="shared" si="9"/>
        <v>-1.8326639072742579</v>
      </c>
      <c r="F301" s="177" t="s">
        <v>670</v>
      </c>
      <c r="H301" s="21"/>
      <c r="I301" s="21"/>
      <c r="J301" s="21"/>
      <c r="K301" s="21"/>
    </row>
    <row r="302" spans="2:11">
      <c r="B302" s="6">
        <f t="shared" si="8"/>
        <v>40</v>
      </c>
      <c r="C302" s="8">
        <f t="shared" si="9"/>
        <v>11.836811444452</v>
      </c>
      <c r="D302" s="65">
        <f t="shared" si="9"/>
        <v>57.563268780476513</v>
      </c>
      <c r="E302" s="68">
        <f t="shared" si="9"/>
        <v>-2.0185174021948136</v>
      </c>
      <c r="F302" s="177" t="s">
        <v>670</v>
      </c>
      <c r="H302" s="21"/>
      <c r="I302" s="21"/>
      <c r="J302" s="21"/>
      <c r="K302" s="21"/>
    </row>
    <row r="303" spans="2:11">
      <c r="B303" s="6">
        <f t="shared" si="8"/>
        <v>41</v>
      </c>
      <c r="C303" s="8">
        <f t="shared" ref="C303:E319" si="10">C$253+C227-C$254</f>
        <v>2.3454460289622432</v>
      </c>
      <c r="D303" s="65">
        <f t="shared" si="10"/>
        <v>36.571466116243897</v>
      </c>
      <c r="E303" s="68">
        <f t="shared" si="10"/>
        <v>-1.3563426208168889</v>
      </c>
      <c r="F303" s="177" t="s">
        <v>670</v>
      </c>
      <c r="H303" s="21"/>
      <c r="I303" s="21"/>
      <c r="J303" s="21"/>
      <c r="K303" s="21"/>
    </row>
    <row r="304" spans="2:11">
      <c r="B304" s="6">
        <f t="shared" si="8"/>
        <v>42</v>
      </c>
      <c r="C304" s="8">
        <f t="shared" si="10"/>
        <v>2.1869306493339673</v>
      </c>
      <c r="D304" s="65">
        <f t="shared" si="10"/>
        <v>23.287524980996992</v>
      </c>
      <c r="E304" s="68">
        <f t="shared" si="10"/>
        <v>0.96877366822170363</v>
      </c>
      <c r="F304" s="177" t="s">
        <v>670</v>
      </c>
      <c r="H304" s="21"/>
      <c r="I304" s="21"/>
      <c r="J304" s="21"/>
      <c r="K304" s="21"/>
    </row>
    <row r="305" spans="2:11">
      <c r="B305" s="6">
        <f t="shared" si="8"/>
        <v>43</v>
      </c>
      <c r="C305" s="8">
        <f t="shared" si="10"/>
        <v>31.374104290760933</v>
      </c>
      <c r="D305" s="65">
        <f t="shared" si="10"/>
        <v>87.220058814964119</v>
      </c>
      <c r="E305" s="68">
        <f t="shared" si="10"/>
        <v>0.50921216654563728</v>
      </c>
      <c r="F305" s="177" t="s">
        <v>670</v>
      </c>
      <c r="H305" s="21"/>
      <c r="I305" s="21"/>
      <c r="J305" s="21"/>
      <c r="K305" s="21"/>
    </row>
    <row r="306" spans="2:11">
      <c r="B306" s="6">
        <f t="shared" si="8"/>
        <v>44</v>
      </c>
      <c r="C306" s="8">
        <f t="shared" si="10"/>
        <v>44.266430543703656</v>
      </c>
      <c r="D306" s="65">
        <f t="shared" si="10"/>
        <v>87.375462189174243</v>
      </c>
      <c r="E306" s="68">
        <f t="shared" si="10"/>
        <v>0.69611073458463912</v>
      </c>
      <c r="F306" s="177" t="s">
        <v>670</v>
      </c>
      <c r="H306" s="21"/>
      <c r="I306" s="21"/>
      <c r="J306" s="21"/>
      <c r="K306" s="21"/>
    </row>
    <row r="307" spans="2:11">
      <c r="B307" s="6">
        <f t="shared" si="8"/>
        <v>45</v>
      </c>
      <c r="C307" s="8">
        <f t="shared" si="10"/>
        <v>61.759209342860181</v>
      </c>
      <c r="D307" s="65">
        <f t="shared" si="10"/>
        <v>102.70125535136165</v>
      </c>
      <c r="E307" s="68">
        <f t="shared" si="10"/>
        <v>2.7575627366190383</v>
      </c>
      <c r="F307" s="177" t="s">
        <v>670</v>
      </c>
      <c r="H307" s="21"/>
      <c r="I307" s="21"/>
      <c r="J307" s="21"/>
      <c r="K307" s="21"/>
    </row>
    <row r="308" spans="2:11">
      <c r="B308" s="6">
        <f t="shared" si="8"/>
        <v>46</v>
      </c>
      <c r="C308" s="8">
        <f t="shared" si="10"/>
        <v>35.917591458360071</v>
      </c>
      <c r="D308" s="65">
        <f t="shared" si="10"/>
        <v>80.746219935848202</v>
      </c>
      <c r="E308" s="68">
        <f t="shared" si="10"/>
        <v>-0.33127225851098935</v>
      </c>
      <c r="F308" s="177" t="s">
        <v>670</v>
      </c>
      <c r="H308" s="21"/>
      <c r="I308" s="21"/>
      <c r="J308" s="21"/>
      <c r="K308" s="21"/>
    </row>
    <row r="309" spans="2:11">
      <c r="B309" s="6">
        <f t="shared" si="8"/>
        <v>47</v>
      </c>
      <c r="C309" s="8">
        <f t="shared" si="10"/>
        <v>24.070296275168086</v>
      </c>
      <c r="D309" s="65">
        <f t="shared" si="10"/>
        <v>60.461814492220299</v>
      </c>
      <c r="E309" s="68">
        <f t="shared" si="10"/>
        <v>0.71484896075831394</v>
      </c>
      <c r="F309" s="177" t="s">
        <v>670</v>
      </c>
      <c r="H309" s="21"/>
      <c r="I309" s="21"/>
      <c r="J309" s="21"/>
      <c r="K309" s="21"/>
    </row>
    <row r="310" spans="2:11">
      <c r="B310" s="6">
        <f t="shared" si="8"/>
        <v>48</v>
      </c>
      <c r="C310" s="8">
        <f t="shared" si="10"/>
        <v>4.7257657093791998</v>
      </c>
      <c r="D310" s="65">
        <f t="shared" si="10"/>
        <v>37.00225923274116</v>
      </c>
      <c r="E310" s="68">
        <f t="shared" si="10"/>
        <v>-0.76006460270066034</v>
      </c>
      <c r="F310" s="177" t="s">
        <v>670</v>
      </c>
      <c r="H310" s="21"/>
      <c r="I310" s="21"/>
      <c r="J310" s="21"/>
      <c r="K310" s="21"/>
    </row>
    <row r="311" spans="2:11">
      <c r="B311" s="6">
        <f t="shared" si="8"/>
        <v>49</v>
      </c>
      <c r="C311" s="8">
        <f t="shared" si="10"/>
        <v>2.4068609888718142</v>
      </c>
      <c r="D311" s="65">
        <f t="shared" si="10"/>
        <v>37.514968224848886</v>
      </c>
      <c r="E311" s="68">
        <f t="shared" si="10"/>
        <v>-1.396091541819162</v>
      </c>
      <c r="F311" s="177" t="s">
        <v>670</v>
      </c>
      <c r="H311" s="21"/>
      <c r="I311" s="21"/>
      <c r="J311" s="21"/>
      <c r="K311" s="21"/>
    </row>
    <row r="312" spans="2:11">
      <c r="B312" s="6">
        <f t="shared" si="8"/>
        <v>50</v>
      </c>
      <c r="C312" s="8">
        <f t="shared" si="10"/>
        <v>3.5340341773791666</v>
      </c>
      <c r="D312" s="65">
        <f t="shared" si="10"/>
        <v>33.390992691639639</v>
      </c>
      <c r="E312" s="68">
        <f t="shared" si="10"/>
        <v>-0.29740176903471888</v>
      </c>
      <c r="F312" s="177" t="s">
        <v>670</v>
      </c>
      <c r="H312" s="21"/>
      <c r="I312" s="21"/>
      <c r="J312" s="21"/>
      <c r="K312" s="21"/>
    </row>
    <row r="313" spans="2:11">
      <c r="B313" s="6">
        <f t="shared" si="8"/>
        <v>51</v>
      </c>
      <c r="C313" s="8">
        <f t="shared" si="10"/>
        <v>4.7936933773745052</v>
      </c>
      <c r="D313" s="65">
        <f t="shared" si="10"/>
        <v>50.449124477412028</v>
      </c>
      <c r="E313" s="68">
        <f t="shared" si="10"/>
        <v>-5.1484040014452337E-2</v>
      </c>
      <c r="F313" s="177" t="s">
        <v>670</v>
      </c>
      <c r="H313" s="21"/>
      <c r="I313" s="21"/>
      <c r="J313" s="21"/>
      <c r="K313" s="21"/>
    </row>
    <row r="314" spans="2:11">
      <c r="B314" s="6">
        <f t="shared" si="8"/>
        <v>52</v>
      </c>
      <c r="C314" s="8">
        <f t="shared" si="10"/>
        <v>14.970514004480844</v>
      </c>
      <c r="D314" s="65">
        <f t="shared" si="10"/>
        <v>67.104111727054118</v>
      </c>
      <c r="E314" s="68">
        <f t="shared" si="10"/>
        <v>-0.7032602704834523</v>
      </c>
      <c r="F314" s="177" t="s">
        <v>670</v>
      </c>
      <c r="H314" s="21"/>
      <c r="I314" s="21"/>
      <c r="J314" s="21"/>
      <c r="K314" s="21"/>
    </row>
    <row r="315" spans="2:11">
      <c r="B315" s="6">
        <f t="shared" si="8"/>
        <v>53</v>
      </c>
      <c r="C315" s="8">
        <f t="shared" si="10"/>
        <v>12.930968827601003</v>
      </c>
      <c r="D315" s="65">
        <f t="shared" si="10"/>
        <v>64.955590876750676</v>
      </c>
      <c r="E315" s="68">
        <f t="shared" si="10"/>
        <v>-0.43943466921557112</v>
      </c>
      <c r="F315" s="177" t="s">
        <v>670</v>
      </c>
      <c r="H315" s="21"/>
      <c r="I315" s="21"/>
      <c r="J315" s="21"/>
      <c r="K315" s="21"/>
    </row>
    <row r="316" spans="2:11">
      <c r="B316" s="6">
        <f t="shared" si="8"/>
        <v>54</v>
      </c>
      <c r="C316" s="8">
        <f t="shared" si="10"/>
        <v>4.677155467583872</v>
      </c>
      <c r="D316" s="65">
        <f t="shared" si="10"/>
        <v>33.496788042839206</v>
      </c>
      <c r="E316" s="68">
        <f t="shared" si="10"/>
        <v>0.54168018982435551</v>
      </c>
      <c r="F316" s="177" t="s">
        <v>670</v>
      </c>
      <c r="H316" s="21"/>
      <c r="I316" s="21"/>
      <c r="J316" s="21"/>
      <c r="K316" s="21"/>
    </row>
    <row r="317" spans="2:11">
      <c r="B317" s="6">
        <f t="shared" si="8"/>
        <v>55</v>
      </c>
      <c r="C317" s="8">
        <f t="shared" si="10"/>
        <v>10.915807394834959</v>
      </c>
      <c r="D317" s="65">
        <f t="shared" si="10"/>
        <v>56.338452562769348</v>
      </c>
      <c r="E317" s="68">
        <f t="shared" si="10"/>
        <v>-2.0149085849413328</v>
      </c>
      <c r="F317" s="177" t="s">
        <v>670</v>
      </c>
      <c r="H317" s="21"/>
      <c r="I317" s="21"/>
      <c r="J317" s="21"/>
      <c r="K317" s="21"/>
    </row>
    <row r="318" spans="2:11">
      <c r="B318" s="6">
        <f t="shared" si="8"/>
        <v>56</v>
      </c>
      <c r="C318" s="8">
        <f t="shared" si="10"/>
        <v>1.6465615893901169</v>
      </c>
      <c r="D318" s="65">
        <f t="shared" si="10"/>
        <v>28.716966260933305</v>
      </c>
      <c r="E318" s="68">
        <f t="shared" si="10"/>
        <v>-0.21794488438902376</v>
      </c>
      <c r="F318" s="177" t="s">
        <v>670</v>
      </c>
      <c r="H318" s="21"/>
      <c r="I318" s="21"/>
      <c r="J318" s="21"/>
      <c r="K318" s="21"/>
    </row>
    <row r="319" spans="2:11">
      <c r="B319" s="6">
        <f t="shared" si="8"/>
        <v>57</v>
      </c>
      <c r="C319" s="8">
        <f t="shared" si="10"/>
        <v>4.0658404385935452</v>
      </c>
      <c r="D319" s="65">
        <f t="shared" si="10"/>
        <v>50.726858452994136</v>
      </c>
      <c r="E319" s="69">
        <f t="shared" si="10"/>
        <v>2.6874533098753912</v>
      </c>
      <c r="F319" s="177" t="s">
        <v>670</v>
      </c>
      <c r="H319" s="21"/>
      <c r="I319" s="21"/>
      <c r="J319" s="21"/>
      <c r="K319" s="21"/>
    </row>
    <row r="320" spans="2:11">
      <c r="H320" s="21"/>
      <c r="I320" s="21"/>
      <c r="J320" s="21"/>
      <c r="K320" s="21"/>
    </row>
    <row r="323" spans="1:13">
      <c r="A323" s="24" t="s">
        <v>782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6" spans="1:13">
      <c r="B326" s="6" t="s">
        <v>707</v>
      </c>
      <c r="C326" s="244" t="s">
        <v>727</v>
      </c>
      <c r="D326" s="244"/>
      <c r="E326" s="244"/>
      <c r="F326" s="6" t="s">
        <v>709</v>
      </c>
    </row>
    <row r="327" spans="1:13">
      <c r="B327" s="6">
        <v>1</v>
      </c>
      <c r="C327" s="67">
        <f t="shared" ref="C327:E346" si="11">IF(C263=MIN($C263:$E263),1,0)</f>
        <v>1</v>
      </c>
      <c r="D327" s="169">
        <f t="shared" si="11"/>
        <v>0</v>
      </c>
      <c r="E327" s="8">
        <f t="shared" si="11"/>
        <v>0</v>
      </c>
      <c r="F327" s="177" t="s">
        <v>668</v>
      </c>
    </row>
    <row r="328" spans="1:13">
      <c r="B328" s="6">
        <f t="shared" ref="B328:B383" si="12">B327+1</f>
        <v>2</v>
      </c>
      <c r="C328" s="68">
        <f t="shared" si="11"/>
        <v>0</v>
      </c>
      <c r="D328" s="169">
        <f t="shared" si="11"/>
        <v>0</v>
      </c>
      <c r="E328" s="8">
        <f t="shared" si="11"/>
        <v>1</v>
      </c>
      <c r="F328" s="177" t="s">
        <v>668</v>
      </c>
    </row>
    <row r="329" spans="1:13">
      <c r="B329" s="6">
        <f t="shared" si="12"/>
        <v>3</v>
      </c>
      <c r="C329" s="68">
        <f t="shared" si="11"/>
        <v>0</v>
      </c>
      <c r="D329" s="169">
        <f t="shared" si="11"/>
        <v>0</v>
      </c>
      <c r="E329" s="8">
        <f t="shared" si="11"/>
        <v>1</v>
      </c>
      <c r="F329" s="177" t="s">
        <v>668</v>
      </c>
    </row>
    <row r="330" spans="1:13">
      <c r="B330" s="6">
        <f t="shared" si="12"/>
        <v>4</v>
      </c>
      <c r="C330" s="68">
        <f t="shared" si="11"/>
        <v>0</v>
      </c>
      <c r="D330" s="169">
        <f t="shared" si="11"/>
        <v>0</v>
      </c>
      <c r="E330" s="8">
        <f t="shared" si="11"/>
        <v>1</v>
      </c>
      <c r="F330" s="177" t="s">
        <v>668</v>
      </c>
    </row>
    <row r="331" spans="1:13">
      <c r="B331" s="6">
        <f t="shared" si="12"/>
        <v>5</v>
      </c>
      <c r="C331" s="68">
        <f t="shared" si="11"/>
        <v>1</v>
      </c>
      <c r="D331" s="169">
        <f t="shared" si="11"/>
        <v>0</v>
      </c>
      <c r="E331" s="8">
        <f t="shared" si="11"/>
        <v>0</v>
      </c>
      <c r="F331" s="177" t="s">
        <v>668</v>
      </c>
    </row>
    <row r="332" spans="1:13">
      <c r="B332" s="6">
        <f t="shared" si="12"/>
        <v>6</v>
      </c>
      <c r="C332" s="68">
        <f t="shared" si="11"/>
        <v>0</v>
      </c>
      <c r="D332" s="169">
        <f t="shared" si="11"/>
        <v>0</v>
      </c>
      <c r="E332" s="8">
        <f t="shared" si="11"/>
        <v>1</v>
      </c>
      <c r="F332" s="177" t="s">
        <v>668</v>
      </c>
    </row>
    <row r="333" spans="1:13">
      <c r="B333" s="6">
        <f t="shared" si="12"/>
        <v>7</v>
      </c>
      <c r="C333" s="68">
        <f t="shared" si="11"/>
        <v>0</v>
      </c>
      <c r="D333" s="169">
        <f t="shared" si="11"/>
        <v>0</v>
      </c>
      <c r="E333" s="8">
        <f t="shared" si="11"/>
        <v>1</v>
      </c>
      <c r="F333" s="177" t="s">
        <v>668</v>
      </c>
    </row>
    <row r="334" spans="1:13">
      <c r="B334" s="6">
        <f t="shared" si="12"/>
        <v>8</v>
      </c>
      <c r="C334" s="68">
        <f t="shared" si="11"/>
        <v>1</v>
      </c>
      <c r="D334" s="169">
        <f t="shared" si="11"/>
        <v>0</v>
      </c>
      <c r="E334" s="8">
        <f t="shared" si="11"/>
        <v>0</v>
      </c>
      <c r="F334" s="177" t="s">
        <v>668</v>
      </c>
    </row>
    <row r="335" spans="1:13">
      <c r="B335" s="6">
        <f t="shared" si="12"/>
        <v>9</v>
      </c>
      <c r="C335" s="68">
        <f t="shared" si="11"/>
        <v>1</v>
      </c>
      <c r="D335" s="169">
        <f t="shared" si="11"/>
        <v>0</v>
      </c>
      <c r="E335" s="8">
        <f t="shared" si="11"/>
        <v>0</v>
      </c>
      <c r="F335" s="177" t="s">
        <v>668</v>
      </c>
    </row>
    <row r="336" spans="1:13">
      <c r="B336" s="6">
        <f t="shared" si="12"/>
        <v>10</v>
      </c>
      <c r="C336" s="68">
        <f t="shared" si="11"/>
        <v>0</v>
      </c>
      <c r="D336" s="169">
        <f t="shared" si="11"/>
        <v>0</v>
      </c>
      <c r="E336" s="8">
        <f t="shared" si="11"/>
        <v>1</v>
      </c>
      <c r="F336" s="177" t="s">
        <v>668</v>
      </c>
    </row>
    <row r="337" spans="2:6">
      <c r="B337" s="6">
        <f t="shared" si="12"/>
        <v>11</v>
      </c>
      <c r="C337" s="68">
        <f t="shared" si="11"/>
        <v>1</v>
      </c>
      <c r="D337" s="169">
        <f t="shared" si="11"/>
        <v>0</v>
      </c>
      <c r="E337" s="8">
        <f t="shared" si="11"/>
        <v>0</v>
      </c>
      <c r="F337" s="177" t="s">
        <v>668</v>
      </c>
    </row>
    <row r="338" spans="2:6">
      <c r="B338" s="6">
        <f t="shared" si="12"/>
        <v>12</v>
      </c>
      <c r="C338" s="68">
        <f t="shared" si="11"/>
        <v>0</v>
      </c>
      <c r="D338" s="169">
        <f t="shared" si="11"/>
        <v>0</v>
      </c>
      <c r="E338" s="8">
        <f t="shared" si="11"/>
        <v>1</v>
      </c>
      <c r="F338" s="177" t="s">
        <v>668</v>
      </c>
    </row>
    <row r="339" spans="2:6">
      <c r="B339" s="6">
        <f t="shared" si="12"/>
        <v>13</v>
      </c>
      <c r="C339" s="68">
        <f t="shared" si="11"/>
        <v>0</v>
      </c>
      <c r="D339" s="169">
        <f t="shared" si="11"/>
        <v>0</v>
      </c>
      <c r="E339" s="8">
        <f t="shared" si="11"/>
        <v>1</v>
      </c>
      <c r="F339" s="177" t="s">
        <v>668</v>
      </c>
    </row>
    <row r="340" spans="2:6">
      <c r="B340" s="6">
        <f t="shared" si="12"/>
        <v>14</v>
      </c>
      <c r="C340" s="68">
        <f t="shared" si="11"/>
        <v>0</v>
      </c>
      <c r="D340" s="169">
        <f t="shared" si="11"/>
        <v>0</v>
      </c>
      <c r="E340" s="8">
        <f t="shared" si="11"/>
        <v>1</v>
      </c>
      <c r="F340" s="177" t="s">
        <v>668</v>
      </c>
    </row>
    <row r="341" spans="2:6">
      <c r="B341" s="6">
        <f t="shared" si="12"/>
        <v>15</v>
      </c>
      <c r="C341" s="68">
        <f t="shared" si="11"/>
        <v>0</v>
      </c>
      <c r="D341" s="169">
        <f t="shared" si="11"/>
        <v>0</v>
      </c>
      <c r="E341" s="8">
        <f t="shared" si="11"/>
        <v>1</v>
      </c>
      <c r="F341" s="177" t="s">
        <v>668</v>
      </c>
    </row>
    <row r="342" spans="2:6">
      <c r="B342" s="6">
        <f t="shared" si="12"/>
        <v>16</v>
      </c>
      <c r="C342" s="68">
        <f t="shared" si="11"/>
        <v>0</v>
      </c>
      <c r="D342" s="169">
        <f t="shared" si="11"/>
        <v>0</v>
      </c>
      <c r="E342" s="8">
        <f t="shared" si="11"/>
        <v>1</v>
      </c>
      <c r="F342" s="177" t="s">
        <v>668</v>
      </c>
    </row>
    <row r="343" spans="2:6">
      <c r="B343" s="6">
        <f t="shared" si="12"/>
        <v>17</v>
      </c>
      <c r="C343" s="68">
        <f t="shared" si="11"/>
        <v>0</v>
      </c>
      <c r="D343" s="169">
        <f t="shared" si="11"/>
        <v>0</v>
      </c>
      <c r="E343" s="8">
        <f t="shared" si="11"/>
        <v>1</v>
      </c>
      <c r="F343" s="177" t="s">
        <v>668</v>
      </c>
    </row>
    <row r="344" spans="2:6">
      <c r="B344" s="6">
        <f t="shared" si="12"/>
        <v>18</v>
      </c>
      <c r="C344" s="68">
        <f t="shared" si="11"/>
        <v>1</v>
      </c>
      <c r="D344" s="169">
        <f t="shared" si="11"/>
        <v>0</v>
      </c>
      <c r="E344" s="8">
        <f t="shared" si="11"/>
        <v>0</v>
      </c>
      <c r="F344" s="177" t="s">
        <v>668</v>
      </c>
    </row>
    <row r="345" spans="2:6">
      <c r="B345" s="6">
        <f t="shared" si="12"/>
        <v>19</v>
      </c>
      <c r="C345" s="69">
        <f t="shared" si="11"/>
        <v>0</v>
      </c>
      <c r="D345" s="171">
        <f t="shared" si="11"/>
        <v>0</v>
      </c>
      <c r="E345" s="8">
        <f t="shared" si="11"/>
        <v>1</v>
      </c>
      <c r="F345" s="177" t="s">
        <v>668</v>
      </c>
    </row>
    <row r="346" spans="2:6">
      <c r="B346" s="6">
        <f t="shared" si="12"/>
        <v>20</v>
      </c>
      <c r="C346" s="170">
        <f t="shared" si="11"/>
        <v>0</v>
      </c>
      <c r="D346" s="67">
        <f t="shared" si="11"/>
        <v>1</v>
      </c>
      <c r="E346" s="169">
        <f t="shared" si="11"/>
        <v>0</v>
      </c>
      <c r="F346" s="177" t="s">
        <v>669</v>
      </c>
    </row>
    <row r="347" spans="2:6">
      <c r="B347" s="6">
        <f t="shared" si="12"/>
        <v>21</v>
      </c>
      <c r="C347" s="65">
        <f t="shared" ref="C347:E366" si="13">IF(C283=MIN($C283:$E283),1,0)</f>
        <v>0</v>
      </c>
      <c r="D347" s="68">
        <f t="shared" si="13"/>
        <v>1</v>
      </c>
      <c r="E347" s="169">
        <f t="shared" si="13"/>
        <v>0</v>
      </c>
      <c r="F347" s="177" t="s">
        <v>669</v>
      </c>
    </row>
    <row r="348" spans="2:6">
      <c r="B348" s="6">
        <f t="shared" si="12"/>
        <v>22</v>
      </c>
      <c r="C348" s="65">
        <f t="shared" si="13"/>
        <v>0</v>
      </c>
      <c r="D348" s="68">
        <f t="shared" si="13"/>
        <v>1</v>
      </c>
      <c r="E348" s="169">
        <f t="shared" si="13"/>
        <v>0</v>
      </c>
      <c r="F348" s="177" t="s">
        <v>669</v>
      </c>
    </row>
    <row r="349" spans="2:6">
      <c r="B349" s="6">
        <f t="shared" si="12"/>
        <v>23</v>
      </c>
      <c r="C349" s="65">
        <f t="shared" si="13"/>
        <v>0</v>
      </c>
      <c r="D349" s="68">
        <f t="shared" si="13"/>
        <v>1</v>
      </c>
      <c r="E349" s="169">
        <f t="shared" si="13"/>
        <v>0</v>
      </c>
      <c r="F349" s="177" t="s">
        <v>669</v>
      </c>
    </row>
    <row r="350" spans="2:6">
      <c r="B350" s="6">
        <f t="shared" si="12"/>
        <v>24</v>
      </c>
      <c r="C350" s="65">
        <f t="shared" si="13"/>
        <v>0</v>
      </c>
      <c r="D350" s="68">
        <f t="shared" si="13"/>
        <v>1</v>
      </c>
      <c r="E350" s="169">
        <f t="shared" si="13"/>
        <v>0</v>
      </c>
      <c r="F350" s="177" t="s">
        <v>669</v>
      </c>
    </row>
    <row r="351" spans="2:6">
      <c r="B351" s="6">
        <f t="shared" si="12"/>
        <v>25</v>
      </c>
      <c r="C351" s="65">
        <f t="shared" si="13"/>
        <v>0</v>
      </c>
      <c r="D351" s="68">
        <f t="shared" si="13"/>
        <v>1</v>
      </c>
      <c r="E351" s="169">
        <f t="shared" si="13"/>
        <v>0</v>
      </c>
      <c r="F351" s="177" t="s">
        <v>669</v>
      </c>
    </row>
    <row r="352" spans="2:6">
      <c r="B352" s="6">
        <f t="shared" si="12"/>
        <v>26</v>
      </c>
      <c r="C352" s="65">
        <f t="shared" si="13"/>
        <v>0</v>
      </c>
      <c r="D352" s="68">
        <f t="shared" si="13"/>
        <v>1</v>
      </c>
      <c r="E352" s="169">
        <f t="shared" si="13"/>
        <v>0</v>
      </c>
      <c r="F352" s="177" t="s">
        <v>669</v>
      </c>
    </row>
    <row r="353" spans="2:6">
      <c r="B353" s="6">
        <f t="shared" si="12"/>
        <v>27</v>
      </c>
      <c r="C353" s="65">
        <f t="shared" si="13"/>
        <v>0</v>
      </c>
      <c r="D353" s="68">
        <f t="shared" si="13"/>
        <v>1</v>
      </c>
      <c r="E353" s="169">
        <f t="shared" si="13"/>
        <v>0</v>
      </c>
      <c r="F353" s="177" t="s">
        <v>669</v>
      </c>
    </row>
    <row r="354" spans="2:6">
      <c r="B354" s="6">
        <f t="shared" si="12"/>
        <v>28</v>
      </c>
      <c r="C354" s="65">
        <f t="shared" si="13"/>
        <v>0</v>
      </c>
      <c r="D354" s="68">
        <f t="shared" si="13"/>
        <v>1</v>
      </c>
      <c r="E354" s="169">
        <f t="shared" si="13"/>
        <v>0</v>
      </c>
      <c r="F354" s="177" t="s">
        <v>669</v>
      </c>
    </row>
    <row r="355" spans="2:6">
      <c r="B355" s="6">
        <f t="shared" si="12"/>
        <v>29</v>
      </c>
      <c r="C355" s="65">
        <f t="shared" si="13"/>
        <v>0</v>
      </c>
      <c r="D355" s="68">
        <f t="shared" si="13"/>
        <v>1</v>
      </c>
      <c r="E355" s="169">
        <f t="shared" si="13"/>
        <v>0</v>
      </c>
      <c r="F355" s="177" t="s">
        <v>669</v>
      </c>
    </row>
    <row r="356" spans="2:6">
      <c r="B356" s="6">
        <f t="shared" si="12"/>
        <v>30</v>
      </c>
      <c r="C356" s="65">
        <f t="shared" si="13"/>
        <v>0</v>
      </c>
      <c r="D356" s="68">
        <f t="shared" si="13"/>
        <v>1</v>
      </c>
      <c r="E356" s="169">
        <f t="shared" si="13"/>
        <v>0</v>
      </c>
      <c r="F356" s="177" t="s">
        <v>669</v>
      </c>
    </row>
    <row r="357" spans="2:6">
      <c r="B357" s="6">
        <f t="shared" si="12"/>
        <v>31</v>
      </c>
      <c r="C357" s="65">
        <f t="shared" si="13"/>
        <v>0</v>
      </c>
      <c r="D357" s="68">
        <f t="shared" si="13"/>
        <v>1</v>
      </c>
      <c r="E357" s="169">
        <f t="shared" si="13"/>
        <v>0</v>
      </c>
      <c r="F357" s="177" t="s">
        <v>669</v>
      </c>
    </row>
    <row r="358" spans="2:6">
      <c r="B358" s="6">
        <f t="shared" si="12"/>
        <v>32</v>
      </c>
      <c r="C358" s="65">
        <f t="shared" si="13"/>
        <v>0</v>
      </c>
      <c r="D358" s="68">
        <f t="shared" si="13"/>
        <v>1</v>
      </c>
      <c r="E358" s="169">
        <f t="shared" si="13"/>
        <v>0</v>
      </c>
      <c r="F358" s="177" t="s">
        <v>669</v>
      </c>
    </row>
    <row r="359" spans="2:6">
      <c r="B359" s="6">
        <f t="shared" si="12"/>
        <v>33</v>
      </c>
      <c r="C359" s="65">
        <f t="shared" si="13"/>
        <v>0</v>
      </c>
      <c r="D359" s="68">
        <f t="shared" si="13"/>
        <v>1</v>
      </c>
      <c r="E359" s="169">
        <f t="shared" si="13"/>
        <v>0</v>
      </c>
      <c r="F359" s="177" t="s">
        <v>669</v>
      </c>
    </row>
    <row r="360" spans="2:6">
      <c r="B360" s="6">
        <f t="shared" si="12"/>
        <v>34</v>
      </c>
      <c r="C360" s="65">
        <f t="shared" si="13"/>
        <v>0</v>
      </c>
      <c r="D360" s="68">
        <f t="shared" si="13"/>
        <v>1</v>
      </c>
      <c r="E360" s="169">
        <f t="shared" si="13"/>
        <v>0</v>
      </c>
      <c r="F360" s="177" t="s">
        <v>669</v>
      </c>
    </row>
    <row r="361" spans="2:6">
      <c r="B361" s="6">
        <f t="shared" si="12"/>
        <v>35</v>
      </c>
      <c r="C361" s="65">
        <f t="shared" si="13"/>
        <v>0</v>
      </c>
      <c r="D361" s="68">
        <f t="shared" si="13"/>
        <v>1</v>
      </c>
      <c r="E361" s="169">
        <f t="shared" si="13"/>
        <v>0</v>
      </c>
      <c r="F361" s="177" t="s">
        <v>669</v>
      </c>
    </row>
    <row r="362" spans="2:6">
      <c r="B362" s="6">
        <f t="shared" si="12"/>
        <v>36</v>
      </c>
      <c r="C362" s="65">
        <f t="shared" si="13"/>
        <v>0</v>
      </c>
      <c r="D362" s="68">
        <f t="shared" si="13"/>
        <v>1</v>
      </c>
      <c r="E362" s="169">
        <f t="shared" si="13"/>
        <v>0</v>
      </c>
      <c r="F362" s="177" t="s">
        <v>669</v>
      </c>
    </row>
    <row r="363" spans="2:6">
      <c r="B363" s="6">
        <f t="shared" si="12"/>
        <v>37</v>
      </c>
      <c r="C363" s="65">
        <f t="shared" si="13"/>
        <v>0</v>
      </c>
      <c r="D363" s="68">
        <f t="shared" si="13"/>
        <v>1</v>
      </c>
      <c r="E363" s="169">
        <f t="shared" si="13"/>
        <v>0</v>
      </c>
      <c r="F363" s="177" t="s">
        <v>669</v>
      </c>
    </row>
    <row r="364" spans="2:6">
      <c r="B364" s="6">
        <f t="shared" si="12"/>
        <v>38</v>
      </c>
      <c r="C364" s="65">
        <f t="shared" si="13"/>
        <v>0</v>
      </c>
      <c r="D364" s="69">
        <f t="shared" si="13"/>
        <v>1</v>
      </c>
      <c r="E364" s="171">
        <f t="shared" si="13"/>
        <v>0</v>
      </c>
      <c r="F364" s="177" t="s">
        <v>669</v>
      </c>
    </row>
    <row r="365" spans="2:6">
      <c r="B365" s="6">
        <f t="shared" si="12"/>
        <v>39</v>
      </c>
      <c r="C365" s="8">
        <f t="shared" si="13"/>
        <v>0</v>
      </c>
      <c r="D365" s="170">
        <f t="shared" si="13"/>
        <v>0</v>
      </c>
      <c r="E365" s="67">
        <f t="shared" si="13"/>
        <v>1</v>
      </c>
      <c r="F365" s="177" t="s">
        <v>670</v>
      </c>
    </row>
    <row r="366" spans="2:6">
      <c r="B366" s="6">
        <f t="shared" si="12"/>
        <v>40</v>
      </c>
      <c r="C366" s="8">
        <f t="shared" si="13"/>
        <v>0</v>
      </c>
      <c r="D366" s="65">
        <f t="shared" si="13"/>
        <v>0</v>
      </c>
      <c r="E366" s="68">
        <f t="shared" si="13"/>
        <v>1</v>
      </c>
      <c r="F366" s="177" t="s">
        <v>670</v>
      </c>
    </row>
    <row r="367" spans="2:6">
      <c r="B367" s="6">
        <f t="shared" si="12"/>
        <v>41</v>
      </c>
      <c r="C367" s="8">
        <f t="shared" ref="C367:E383" si="14">IF(C303=MIN($C303:$E303),1,0)</f>
        <v>0</v>
      </c>
      <c r="D367" s="65">
        <f t="shared" si="14"/>
        <v>0</v>
      </c>
      <c r="E367" s="68">
        <f t="shared" si="14"/>
        <v>1</v>
      </c>
      <c r="F367" s="177" t="s">
        <v>670</v>
      </c>
    </row>
    <row r="368" spans="2:6">
      <c r="B368" s="6">
        <f t="shared" si="12"/>
        <v>42</v>
      </c>
      <c r="C368" s="8">
        <f t="shared" si="14"/>
        <v>0</v>
      </c>
      <c r="D368" s="65">
        <f t="shared" si="14"/>
        <v>0</v>
      </c>
      <c r="E368" s="68">
        <f t="shared" si="14"/>
        <v>1</v>
      </c>
      <c r="F368" s="177" t="s">
        <v>670</v>
      </c>
    </row>
    <row r="369" spans="2:7">
      <c r="B369" s="6">
        <f t="shared" si="12"/>
        <v>43</v>
      </c>
      <c r="C369" s="8">
        <f t="shared" si="14"/>
        <v>0</v>
      </c>
      <c r="D369" s="65">
        <f t="shared" si="14"/>
        <v>0</v>
      </c>
      <c r="E369" s="68">
        <f t="shared" si="14"/>
        <v>1</v>
      </c>
      <c r="F369" s="177" t="s">
        <v>670</v>
      </c>
    </row>
    <row r="370" spans="2:7">
      <c r="B370" s="6">
        <f t="shared" si="12"/>
        <v>44</v>
      </c>
      <c r="C370" s="8">
        <f t="shared" si="14"/>
        <v>0</v>
      </c>
      <c r="D370" s="65">
        <f t="shared" si="14"/>
        <v>0</v>
      </c>
      <c r="E370" s="68">
        <f t="shared" si="14"/>
        <v>1</v>
      </c>
      <c r="F370" s="177" t="s">
        <v>670</v>
      </c>
    </row>
    <row r="371" spans="2:7">
      <c r="B371" s="6">
        <f t="shared" si="12"/>
        <v>45</v>
      </c>
      <c r="C371" s="8">
        <f t="shared" si="14"/>
        <v>0</v>
      </c>
      <c r="D371" s="65">
        <f t="shared" si="14"/>
        <v>0</v>
      </c>
      <c r="E371" s="68">
        <f t="shared" si="14"/>
        <v>1</v>
      </c>
      <c r="F371" s="177" t="s">
        <v>670</v>
      </c>
    </row>
    <row r="372" spans="2:7">
      <c r="B372" s="6">
        <f t="shared" si="12"/>
        <v>46</v>
      </c>
      <c r="C372" s="8">
        <f t="shared" si="14"/>
        <v>0</v>
      </c>
      <c r="D372" s="65">
        <f t="shared" si="14"/>
        <v>0</v>
      </c>
      <c r="E372" s="68">
        <f t="shared" si="14"/>
        <v>1</v>
      </c>
      <c r="F372" s="177" t="s">
        <v>670</v>
      </c>
    </row>
    <row r="373" spans="2:7">
      <c r="B373" s="6">
        <f t="shared" si="12"/>
        <v>47</v>
      </c>
      <c r="C373" s="8">
        <f t="shared" si="14"/>
        <v>0</v>
      </c>
      <c r="D373" s="65">
        <f t="shared" si="14"/>
        <v>0</v>
      </c>
      <c r="E373" s="68">
        <f t="shared" si="14"/>
        <v>1</v>
      </c>
      <c r="F373" s="177" t="s">
        <v>670</v>
      </c>
    </row>
    <row r="374" spans="2:7">
      <c r="B374" s="6">
        <f t="shared" si="12"/>
        <v>48</v>
      </c>
      <c r="C374" s="8">
        <f t="shared" si="14"/>
        <v>0</v>
      </c>
      <c r="D374" s="65">
        <f t="shared" si="14"/>
        <v>0</v>
      </c>
      <c r="E374" s="68">
        <f t="shared" si="14"/>
        <v>1</v>
      </c>
      <c r="F374" s="177" t="s">
        <v>670</v>
      </c>
    </row>
    <row r="375" spans="2:7">
      <c r="B375" s="6">
        <f t="shared" si="12"/>
        <v>49</v>
      </c>
      <c r="C375" s="8">
        <f t="shared" si="14"/>
        <v>0</v>
      </c>
      <c r="D375" s="65">
        <f t="shared" si="14"/>
        <v>0</v>
      </c>
      <c r="E375" s="68">
        <f t="shared" si="14"/>
        <v>1</v>
      </c>
      <c r="F375" s="177" t="s">
        <v>670</v>
      </c>
    </row>
    <row r="376" spans="2:7">
      <c r="B376" s="6">
        <f t="shared" si="12"/>
        <v>50</v>
      </c>
      <c r="C376" s="8">
        <f t="shared" si="14"/>
        <v>0</v>
      </c>
      <c r="D376" s="65">
        <f t="shared" si="14"/>
        <v>0</v>
      </c>
      <c r="E376" s="68">
        <f t="shared" si="14"/>
        <v>1</v>
      </c>
      <c r="F376" s="177" t="s">
        <v>670</v>
      </c>
    </row>
    <row r="377" spans="2:7">
      <c r="B377" s="6">
        <f t="shared" si="12"/>
        <v>51</v>
      </c>
      <c r="C377" s="8">
        <f t="shared" si="14"/>
        <v>0</v>
      </c>
      <c r="D377" s="65">
        <f t="shared" si="14"/>
        <v>0</v>
      </c>
      <c r="E377" s="68">
        <f t="shared" si="14"/>
        <v>1</v>
      </c>
      <c r="F377" s="177" t="s">
        <v>670</v>
      </c>
    </row>
    <row r="378" spans="2:7">
      <c r="B378" s="6">
        <f t="shared" si="12"/>
        <v>52</v>
      </c>
      <c r="C378" s="8">
        <f t="shared" si="14"/>
        <v>0</v>
      </c>
      <c r="D378" s="65">
        <f t="shared" si="14"/>
        <v>0</v>
      </c>
      <c r="E378" s="68">
        <f t="shared" si="14"/>
        <v>1</v>
      </c>
      <c r="F378" s="177" t="s">
        <v>670</v>
      </c>
    </row>
    <row r="379" spans="2:7">
      <c r="B379" s="6">
        <f t="shared" si="12"/>
        <v>53</v>
      </c>
      <c r="C379" s="8">
        <f t="shared" si="14"/>
        <v>0</v>
      </c>
      <c r="D379" s="65">
        <f t="shared" si="14"/>
        <v>0</v>
      </c>
      <c r="E379" s="68">
        <f t="shared" si="14"/>
        <v>1</v>
      </c>
      <c r="F379" s="177" t="s">
        <v>670</v>
      </c>
    </row>
    <row r="380" spans="2:7">
      <c r="B380" s="6">
        <f t="shared" si="12"/>
        <v>54</v>
      </c>
      <c r="C380" s="8">
        <f t="shared" si="14"/>
        <v>0</v>
      </c>
      <c r="D380" s="65">
        <f t="shared" si="14"/>
        <v>0</v>
      </c>
      <c r="E380" s="68">
        <f t="shared" si="14"/>
        <v>1</v>
      </c>
      <c r="F380" s="177" t="s">
        <v>670</v>
      </c>
    </row>
    <row r="381" spans="2:7">
      <c r="B381" s="6">
        <f t="shared" si="12"/>
        <v>55</v>
      </c>
      <c r="C381" s="8">
        <f t="shared" si="14"/>
        <v>0</v>
      </c>
      <c r="D381" s="65">
        <f t="shared" si="14"/>
        <v>0</v>
      </c>
      <c r="E381" s="68">
        <f t="shared" si="14"/>
        <v>1</v>
      </c>
      <c r="F381" s="177" t="s">
        <v>670</v>
      </c>
    </row>
    <row r="382" spans="2:7">
      <c r="B382" s="6">
        <f t="shared" si="12"/>
        <v>56</v>
      </c>
      <c r="C382" s="8">
        <f t="shared" si="14"/>
        <v>0</v>
      </c>
      <c r="D382" s="65">
        <f t="shared" si="14"/>
        <v>0</v>
      </c>
      <c r="E382" s="68">
        <f t="shared" si="14"/>
        <v>1</v>
      </c>
      <c r="F382" s="177" t="s">
        <v>670</v>
      </c>
    </row>
    <row r="383" spans="2:7">
      <c r="B383" s="6">
        <f t="shared" si="12"/>
        <v>57</v>
      </c>
      <c r="C383" s="8">
        <f t="shared" si="14"/>
        <v>0</v>
      </c>
      <c r="D383" s="65">
        <f t="shared" si="14"/>
        <v>0</v>
      </c>
      <c r="E383" s="69">
        <f t="shared" si="14"/>
        <v>1</v>
      </c>
      <c r="F383" s="177" t="s">
        <v>670</v>
      </c>
    </row>
    <row r="384" spans="2:7" ht="15">
      <c r="E384" s="167"/>
      <c r="G384" s="1"/>
    </row>
    <row r="387" spans="1:21">
      <c r="A387" s="24" t="s">
        <v>769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90" spans="1:21">
      <c r="D390" s="244" t="s">
        <v>667</v>
      </c>
      <c r="E390" s="244"/>
      <c r="F390" s="244"/>
    </row>
    <row r="391" spans="1:21">
      <c r="C391" s="6"/>
      <c r="D391" s="6" t="s">
        <v>668</v>
      </c>
      <c r="E391" s="6" t="s">
        <v>669</v>
      </c>
      <c r="F391" s="6" t="s">
        <v>670</v>
      </c>
      <c r="G391" s="6" t="s">
        <v>404</v>
      </c>
    </row>
    <row r="392" spans="1:21">
      <c r="C392" s="6" t="s">
        <v>668</v>
      </c>
      <c r="D392" s="154">
        <f>SUM(C327:C345)</f>
        <v>6</v>
      </c>
      <c r="E392" s="175">
        <f>SUM(D327:D345)</f>
        <v>0</v>
      </c>
      <c r="F392" s="175">
        <f>SUM(E327:E345)</f>
        <v>13</v>
      </c>
      <c r="G392" s="8">
        <f>SUM(D392:F392)</f>
        <v>19</v>
      </c>
    </row>
    <row r="393" spans="1:21">
      <c r="B393" s="6" t="s">
        <v>671</v>
      </c>
      <c r="C393" s="6" t="s">
        <v>669</v>
      </c>
      <c r="D393" s="8">
        <f>SUM(C346:C364)</f>
        <v>0</v>
      </c>
      <c r="E393" s="154">
        <f>SUM(D346:D364)</f>
        <v>19</v>
      </c>
      <c r="F393" s="8">
        <f>SUM(E346:E364)</f>
        <v>0</v>
      </c>
      <c r="G393" s="8">
        <f>SUM(D393:F393)</f>
        <v>19</v>
      </c>
      <c r="L393" s="1"/>
      <c r="O393" s="1"/>
    </row>
    <row r="394" spans="1:21">
      <c r="C394" s="6" t="s">
        <v>670</v>
      </c>
      <c r="D394" s="8">
        <f>SUM(C365:C383)</f>
        <v>0</v>
      </c>
      <c r="E394" s="8">
        <f>SUM(D365:D383)</f>
        <v>0</v>
      </c>
      <c r="F394" s="154">
        <f>SUM(E365:E383)</f>
        <v>19</v>
      </c>
      <c r="G394" s="8">
        <f>SUM(D394:F394)</f>
        <v>19</v>
      </c>
      <c r="M394" s="1"/>
      <c r="N394" s="1"/>
    </row>
    <row r="395" spans="1:21">
      <c r="D395" s="1"/>
      <c r="E395" s="1"/>
      <c r="F395" s="6" t="s">
        <v>672</v>
      </c>
      <c r="G395" s="8">
        <f>SUM(G392:G394)</f>
        <v>57</v>
      </c>
    </row>
    <row r="396" spans="1:21">
      <c r="F396" s="6" t="s">
        <v>673</v>
      </c>
      <c r="G396" s="8">
        <f>D392+E393+F394</f>
        <v>44</v>
      </c>
    </row>
    <row r="398" spans="1:21">
      <c r="D398" s="6"/>
      <c r="E398" s="6" t="s">
        <v>667</v>
      </c>
      <c r="F398" s="6"/>
    </row>
    <row r="399" spans="1:21">
      <c r="C399" s="6"/>
      <c r="D399" s="6" t="s">
        <v>668</v>
      </c>
      <c r="E399" s="6" t="s">
        <v>669</v>
      </c>
      <c r="F399" s="6" t="s">
        <v>670</v>
      </c>
      <c r="G399" s="6" t="s">
        <v>404</v>
      </c>
    </row>
    <row r="400" spans="1:21">
      <c r="C400" s="6" t="s">
        <v>668</v>
      </c>
      <c r="D400" s="174">
        <f t="shared" ref="D400:G402" si="15">D392/$G392</f>
        <v>0.31578947368421051</v>
      </c>
      <c r="E400" s="174">
        <f t="shared" si="15"/>
        <v>0</v>
      </c>
      <c r="F400" s="174">
        <f t="shared" si="15"/>
        <v>0.68421052631578949</v>
      </c>
      <c r="G400" s="173">
        <f t="shared" si="15"/>
        <v>1</v>
      </c>
      <c r="S400" s="149"/>
      <c r="T400" s="149"/>
      <c r="U400" s="149"/>
    </row>
    <row r="401" spans="1:21">
      <c r="B401" s="6" t="s">
        <v>671</v>
      </c>
      <c r="C401" s="6" t="s">
        <v>669</v>
      </c>
      <c r="D401" s="174">
        <f t="shared" si="15"/>
        <v>0</v>
      </c>
      <c r="E401" s="174">
        <f t="shared" si="15"/>
        <v>1</v>
      </c>
      <c r="F401" s="174">
        <f t="shared" si="15"/>
        <v>0</v>
      </c>
      <c r="G401" s="173">
        <f t="shared" si="15"/>
        <v>1</v>
      </c>
    </row>
    <row r="402" spans="1:21">
      <c r="C402" s="6" t="s">
        <v>670</v>
      </c>
      <c r="D402" s="174">
        <f t="shared" si="15"/>
        <v>0</v>
      </c>
      <c r="E402" s="174">
        <f t="shared" si="15"/>
        <v>0</v>
      </c>
      <c r="F402" s="174">
        <f t="shared" si="15"/>
        <v>1</v>
      </c>
      <c r="G402" s="173">
        <f t="shared" si="15"/>
        <v>1</v>
      </c>
    </row>
    <row r="405" spans="1:21">
      <c r="B405" s="6" t="s">
        <v>369</v>
      </c>
      <c r="C405" s="8" t="s">
        <v>770</v>
      </c>
      <c r="D405" s="8"/>
      <c r="E405" s="8"/>
      <c r="F405" s="8"/>
      <c r="G405" s="8"/>
    </row>
    <row r="406" spans="1:21">
      <c r="C406" s="8" t="s">
        <v>771</v>
      </c>
      <c r="D406" s="8"/>
      <c r="E406" s="8"/>
      <c r="F406" s="8"/>
      <c r="G406" s="8"/>
    </row>
    <row r="407" spans="1:21">
      <c r="C407" s="8"/>
      <c r="D407" s="8"/>
      <c r="E407" s="8"/>
      <c r="F407" s="8"/>
      <c r="G407" s="8"/>
    </row>
    <row r="408" spans="1:21">
      <c r="S408" s="149"/>
      <c r="T408" s="149"/>
      <c r="U408" s="149"/>
    </row>
    <row r="411" spans="1:21">
      <c r="A411" s="24" t="s">
        <v>730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</row>
    <row r="414" spans="1:21">
      <c r="B414" s="6" t="s">
        <v>369</v>
      </c>
      <c r="C414" s="178" t="s">
        <v>752</v>
      </c>
      <c r="D414" s="178"/>
      <c r="E414" s="178"/>
      <c r="F414" s="178"/>
      <c r="G414" s="178"/>
      <c r="H414" s="178"/>
    </row>
    <row r="415" spans="1:21">
      <c r="B415" s="9"/>
      <c r="C415" s="178" t="s">
        <v>674</v>
      </c>
      <c r="D415" s="178"/>
      <c r="E415" s="178"/>
      <c r="F415" s="178"/>
      <c r="G415" s="178"/>
      <c r="H415" s="178"/>
    </row>
    <row r="416" spans="1:21">
      <c r="B416" s="9"/>
      <c r="C416" s="178" t="s">
        <v>675</v>
      </c>
      <c r="D416" s="178"/>
      <c r="E416" s="178" t="s">
        <v>747</v>
      </c>
      <c r="F416" s="178"/>
      <c r="G416" s="178"/>
      <c r="H416" s="178"/>
    </row>
    <row r="417" spans="2:21" ht="15.75">
      <c r="C417" s="178" t="s">
        <v>748</v>
      </c>
      <c r="D417" s="178"/>
      <c r="E417" s="178"/>
      <c r="F417" s="178"/>
      <c r="G417" s="178"/>
      <c r="H417" s="178"/>
    </row>
    <row r="418" spans="2:21" ht="15.75">
      <c r="C418" s="178"/>
      <c r="D418" s="178" t="s">
        <v>749</v>
      </c>
      <c r="E418" s="178"/>
      <c r="F418" s="178"/>
      <c r="G418" s="178"/>
      <c r="H418" s="178"/>
      <c r="S418" s="149"/>
      <c r="T418" s="149"/>
      <c r="U418" s="149"/>
    </row>
    <row r="419" spans="2:21" ht="15.75">
      <c r="C419" s="178"/>
      <c r="D419" s="178" t="s">
        <v>750</v>
      </c>
      <c r="E419" s="178"/>
      <c r="F419" s="178"/>
      <c r="G419" s="178"/>
      <c r="H419" s="178"/>
    </row>
    <row r="420" spans="2:21" ht="15.75">
      <c r="C420" s="178"/>
      <c r="D420" s="109" t="s">
        <v>751</v>
      </c>
      <c r="E420" s="178" t="s">
        <v>676</v>
      </c>
      <c r="F420" s="178"/>
      <c r="G420" s="178"/>
      <c r="H420" s="178"/>
    </row>
    <row r="421" spans="2:21" ht="15.75">
      <c r="C421" s="178" t="s">
        <v>753</v>
      </c>
      <c r="D421" s="178"/>
      <c r="E421" s="178"/>
      <c r="F421" s="178"/>
      <c r="G421" s="178"/>
      <c r="H421" s="178"/>
    </row>
    <row r="422" spans="2:21">
      <c r="C422" s="178" t="s">
        <v>754</v>
      </c>
      <c r="D422" s="178"/>
      <c r="E422" s="178"/>
      <c r="F422" s="178"/>
      <c r="G422" s="178"/>
      <c r="H422" s="178"/>
    </row>
    <row r="423" spans="2:21">
      <c r="C423" s="178"/>
      <c r="D423" s="178"/>
      <c r="E423" s="178"/>
      <c r="F423" s="178"/>
      <c r="G423" s="178"/>
      <c r="H423" s="178"/>
      <c r="M423" s="12"/>
    </row>
    <row r="425" spans="2:21">
      <c r="B425" s="107" t="s">
        <v>677</v>
      </c>
    </row>
    <row r="426" spans="2:21">
      <c r="B426" s="176">
        <v>3</v>
      </c>
    </row>
    <row r="428" spans="2:21">
      <c r="B428" s="6" t="s">
        <v>678</v>
      </c>
      <c r="C428" s="6"/>
      <c r="D428" s="177" t="s">
        <v>679</v>
      </c>
      <c r="E428" s="177"/>
      <c r="S428" s="149"/>
      <c r="T428" s="149"/>
      <c r="U428" s="149"/>
    </row>
    <row r="429" spans="2:21">
      <c r="D429" s="244" t="s">
        <v>667</v>
      </c>
      <c r="E429" s="244"/>
      <c r="F429" s="244"/>
    </row>
    <row r="430" spans="2:21">
      <c r="D430" s="6" t="s">
        <v>668</v>
      </c>
      <c r="E430" s="6" t="s">
        <v>669</v>
      </c>
      <c r="F430" s="6" t="s">
        <v>670</v>
      </c>
      <c r="G430" s="6" t="s">
        <v>404</v>
      </c>
    </row>
    <row r="431" spans="2:21">
      <c r="C431" s="6" t="s">
        <v>668</v>
      </c>
      <c r="D431" s="8">
        <f t="shared" ref="D431:F433" si="16">$G392^2/COUNTA($B$327:$B$383)</f>
        <v>6.333333333333333</v>
      </c>
      <c r="E431" s="8">
        <f t="shared" si="16"/>
        <v>6.333333333333333</v>
      </c>
      <c r="F431" s="8">
        <f t="shared" si="16"/>
        <v>6.333333333333333</v>
      </c>
      <c r="G431" s="8">
        <f>G392</f>
        <v>19</v>
      </c>
      <c r="H431" s="177" t="s">
        <v>680</v>
      </c>
      <c r="I431" s="177"/>
      <c r="J431" s="177"/>
      <c r="K431" s="177"/>
      <c r="L431" s="177"/>
    </row>
    <row r="432" spans="2:21">
      <c r="B432" s="6" t="s">
        <v>671</v>
      </c>
      <c r="C432" s="6" t="s">
        <v>669</v>
      </c>
      <c r="D432" s="8">
        <f t="shared" si="16"/>
        <v>6.333333333333333</v>
      </c>
      <c r="E432" s="8">
        <f t="shared" si="16"/>
        <v>6.333333333333333</v>
      </c>
      <c r="F432" s="8">
        <f t="shared" si="16"/>
        <v>6.333333333333333</v>
      </c>
      <c r="G432" s="8">
        <f>G393</f>
        <v>19</v>
      </c>
      <c r="H432" s="1"/>
    </row>
    <row r="433" spans="2:21">
      <c r="C433" s="6" t="s">
        <v>670</v>
      </c>
      <c r="D433" s="8">
        <f t="shared" si="16"/>
        <v>6.333333333333333</v>
      </c>
      <c r="E433" s="8">
        <f t="shared" si="16"/>
        <v>6.333333333333333</v>
      </c>
      <c r="F433" s="8">
        <f t="shared" si="16"/>
        <v>6.333333333333333</v>
      </c>
      <c r="G433" s="8">
        <f>G394</f>
        <v>19</v>
      </c>
      <c r="H433" s="1"/>
    </row>
    <row r="434" spans="2:21">
      <c r="C434" s="1"/>
      <c r="D434" s="1"/>
      <c r="E434" s="1"/>
      <c r="F434" s="6" t="s">
        <v>681</v>
      </c>
      <c r="G434" s="8">
        <f>D431+E432+F433</f>
        <v>19</v>
      </c>
      <c r="H434" s="177" t="s">
        <v>682</v>
      </c>
      <c r="I434" s="177"/>
      <c r="J434" s="177"/>
      <c r="K434" s="177"/>
      <c r="L434" s="177"/>
    </row>
    <row r="435" spans="2:21">
      <c r="B435" s="6" t="s">
        <v>683</v>
      </c>
      <c r="C435" s="6" t="s">
        <v>648</v>
      </c>
      <c r="D435" s="168">
        <f>1/3</f>
        <v>0.33333333333333331</v>
      </c>
      <c r="E435" s="1"/>
      <c r="F435" s="1"/>
      <c r="G435" s="1"/>
    </row>
    <row r="436" spans="2:21">
      <c r="B436" s="1"/>
      <c r="C436" s="6" t="s">
        <v>684</v>
      </c>
      <c r="D436" s="168">
        <f>COUNTA(B327:B383)*D435</f>
        <v>19</v>
      </c>
      <c r="S436" s="149"/>
      <c r="T436" s="149"/>
      <c r="U436" s="149"/>
    </row>
    <row r="437" spans="2:21">
      <c r="B437" s="1"/>
      <c r="C437" s="6" t="s">
        <v>685</v>
      </c>
      <c r="D437" s="168">
        <f>D436*(1-D435)</f>
        <v>12.666666666666668</v>
      </c>
    </row>
    <row r="438" spans="2:21">
      <c r="B438" s="1"/>
      <c r="C438" s="6" t="s">
        <v>687</v>
      </c>
      <c r="D438" s="168">
        <f>SQRT(D437)</f>
        <v>3.5590260840104371</v>
      </c>
    </row>
    <row r="439" spans="2:21">
      <c r="B439" s="1"/>
      <c r="C439" s="6" t="s">
        <v>690</v>
      </c>
      <c r="D439" s="168">
        <f>G396</f>
        <v>44</v>
      </c>
    </row>
    <row r="440" spans="2:21">
      <c r="B440" s="1"/>
      <c r="C440" s="6" t="s">
        <v>693</v>
      </c>
      <c r="D440" s="168">
        <f>(D439-D436)/D438</f>
        <v>7.024393586862705</v>
      </c>
    </row>
    <row r="441" spans="2:21">
      <c r="B441" s="1"/>
      <c r="C441" s="6" t="s">
        <v>696</v>
      </c>
      <c r="D441" s="168">
        <f>(1-_xlfn.NORM.DIST(D440,0,1,1))*2</f>
        <v>2.1500579094890782E-12</v>
      </c>
    </row>
    <row r="442" spans="2:21">
      <c r="B442" s="1"/>
      <c r="C442" s="6" t="s">
        <v>698</v>
      </c>
      <c r="D442" s="168">
        <f>(1-_xlfn.BINOM.DIST(52,57,D435,1))*2</f>
        <v>0</v>
      </c>
    </row>
    <row r="444" spans="2:21">
      <c r="S444" s="149"/>
      <c r="T444" s="149"/>
      <c r="U444" s="149"/>
    </row>
    <row r="445" spans="2:21">
      <c r="B445" s="6" t="s">
        <v>369</v>
      </c>
      <c r="C445" s="178" t="s">
        <v>755</v>
      </c>
      <c r="D445" s="178"/>
      <c r="E445" s="178"/>
      <c r="F445" s="178"/>
      <c r="G445" s="178"/>
      <c r="H445" s="178"/>
      <c r="I445" s="178"/>
    </row>
    <row r="446" spans="2:21">
      <c r="C446" s="178" t="s">
        <v>686</v>
      </c>
      <c r="D446" s="178"/>
      <c r="E446" s="178"/>
      <c r="F446" s="178"/>
      <c r="G446" s="178"/>
      <c r="H446" s="178"/>
      <c r="I446" s="178"/>
    </row>
    <row r="447" spans="2:21">
      <c r="C447" s="178" t="s">
        <v>688</v>
      </c>
      <c r="D447" s="178"/>
      <c r="E447" s="178"/>
      <c r="F447" s="178"/>
      <c r="G447" s="178"/>
      <c r="H447" s="178"/>
      <c r="I447" s="178"/>
    </row>
    <row r="448" spans="2:21">
      <c r="C448" s="178" t="s">
        <v>691</v>
      </c>
      <c r="D448" s="178"/>
      <c r="E448" s="178"/>
      <c r="F448" s="178"/>
      <c r="G448" s="178"/>
      <c r="H448" s="178"/>
      <c r="I448" s="178"/>
    </row>
    <row r="449" spans="1:21">
      <c r="C449" s="178" t="s">
        <v>694</v>
      </c>
      <c r="D449" s="178"/>
      <c r="E449" s="178"/>
      <c r="F449" s="178"/>
      <c r="G449" s="178"/>
      <c r="H449" s="178"/>
      <c r="I449" s="178"/>
    </row>
    <row r="450" spans="1:21">
      <c r="C450" s="178" t="s">
        <v>697</v>
      </c>
      <c r="D450" s="178"/>
      <c r="E450" s="178"/>
      <c r="F450" s="178"/>
      <c r="G450" s="178"/>
      <c r="H450" s="178"/>
      <c r="I450" s="178"/>
    </row>
    <row r="451" spans="1:21">
      <c r="C451" s="178" t="s">
        <v>699</v>
      </c>
      <c r="D451" s="178">
        <f>1/3*57</f>
        <v>19</v>
      </c>
      <c r="E451" s="178"/>
      <c r="F451" s="178"/>
      <c r="G451" s="178"/>
      <c r="H451" s="178"/>
      <c r="I451" s="178"/>
    </row>
    <row r="452" spans="1:21" ht="16.5" customHeight="1">
      <c r="C452" s="178" t="s">
        <v>772</v>
      </c>
      <c r="D452" s="178"/>
      <c r="E452" s="178"/>
      <c r="F452" s="178"/>
      <c r="G452" s="178"/>
      <c r="H452" s="178"/>
      <c r="I452" s="178"/>
      <c r="S452" s="149"/>
      <c r="T452" s="149"/>
      <c r="U452" s="149"/>
    </row>
    <row r="453" spans="1:21">
      <c r="C453" s="178" t="s">
        <v>702</v>
      </c>
      <c r="D453" s="178"/>
      <c r="E453" s="178"/>
      <c r="F453" s="178"/>
      <c r="G453" s="178"/>
      <c r="H453" s="178"/>
      <c r="I453" s="178"/>
    </row>
    <row r="454" spans="1:21">
      <c r="C454" s="178" t="s">
        <v>703</v>
      </c>
      <c r="D454" s="178"/>
      <c r="E454" s="178"/>
      <c r="F454" s="178"/>
      <c r="G454" s="178"/>
      <c r="H454" s="178"/>
      <c r="I454" s="178"/>
    </row>
    <row r="455" spans="1:21">
      <c r="C455" s="178" t="s">
        <v>704</v>
      </c>
      <c r="D455" s="178"/>
      <c r="E455" s="178"/>
      <c r="F455" s="178"/>
      <c r="G455" s="178"/>
      <c r="H455" s="178"/>
      <c r="I455" s="178"/>
    </row>
    <row r="456" spans="1:21">
      <c r="C456" s="178" t="s">
        <v>705</v>
      </c>
      <c r="D456" s="178"/>
      <c r="E456" s="178"/>
      <c r="F456" s="178"/>
      <c r="G456" s="178"/>
      <c r="H456" s="178"/>
      <c r="I456" s="178"/>
    </row>
    <row r="458" spans="1:21">
      <c r="R458" s="149"/>
    </row>
    <row r="459" spans="1:21">
      <c r="R459" s="149"/>
    </row>
    <row r="460" spans="1:21">
      <c r="A460" s="24" t="s">
        <v>733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R460" s="149"/>
    </row>
    <row r="461" spans="1:21">
      <c r="R461" s="149"/>
    </row>
    <row r="462" spans="1:21">
      <c r="R462" s="149"/>
    </row>
    <row r="463" spans="1:21"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R463" s="149"/>
    </row>
    <row r="464" spans="1:21"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M464" t="s">
        <v>742</v>
      </c>
      <c r="R464" s="149"/>
    </row>
    <row r="465" spans="2:18"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M465" t="s">
        <v>743</v>
      </c>
      <c r="R465" s="149"/>
    </row>
    <row r="466" spans="2:18"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M466" t="s">
        <v>744</v>
      </c>
      <c r="R466" s="149"/>
    </row>
    <row r="467" spans="2:18"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M467" t="s">
        <v>745</v>
      </c>
      <c r="R467" s="149"/>
    </row>
    <row r="468" spans="2:18"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M468" t="s">
        <v>746</v>
      </c>
      <c r="R468" s="149"/>
    </row>
    <row r="469" spans="2:18"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R469" s="149"/>
    </row>
    <row r="470" spans="2:18"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R470" s="149"/>
    </row>
    <row r="471" spans="2:18"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R471" s="149"/>
    </row>
    <row r="472" spans="2:18"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R472" s="149"/>
    </row>
    <row r="473" spans="2:18"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R473" s="149"/>
    </row>
    <row r="474" spans="2:18"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R474" s="149"/>
    </row>
    <row r="475" spans="2:18"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R475" s="149"/>
    </row>
    <row r="476" spans="2:18"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R476" s="149"/>
    </row>
    <row r="477" spans="2:18">
      <c r="B477" s="177"/>
      <c r="C477" s="177"/>
      <c r="D477" s="177"/>
      <c r="E477" s="177" t="s">
        <v>45</v>
      </c>
      <c r="F477" s="177"/>
      <c r="G477" s="177"/>
      <c r="H477" s="177"/>
      <c r="I477" s="177"/>
      <c r="J477" s="177"/>
      <c r="K477" s="177"/>
      <c r="R477" s="149"/>
    </row>
    <row r="478" spans="2:18"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R478" s="149"/>
    </row>
    <row r="479" spans="2:18"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R479" s="149"/>
    </row>
    <row r="480" spans="2:18"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R480" s="149"/>
    </row>
    <row r="481" spans="2:18"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R481" s="149"/>
    </row>
    <row r="482" spans="2:18"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R482" s="149"/>
    </row>
    <row r="483" spans="2:18"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R483" s="149"/>
    </row>
    <row r="484" spans="2:18"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R484" s="149"/>
    </row>
    <row r="485" spans="2:18"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R485" s="149"/>
    </row>
    <row r="486" spans="2:18"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R486" s="149"/>
    </row>
    <row r="487" spans="2:18"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R487" s="149"/>
    </row>
    <row r="488" spans="2:18"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R488" s="149"/>
    </row>
    <row r="489" spans="2:18"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R489" s="149"/>
    </row>
    <row r="490" spans="2:18"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R490" s="149"/>
    </row>
    <row r="491" spans="2:18"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R491" s="149"/>
    </row>
    <row r="492" spans="2:18"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</row>
    <row r="497" spans="1:16">
      <c r="A497" s="24" t="s">
        <v>732</v>
      </c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spans="1:16">
      <c r="I498" s="1"/>
    </row>
    <row r="500" spans="1:16">
      <c r="A500" s="6" t="s">
        <v>712</v>
      </c>
      <c r="B500" s="6" t="s">
        <v>731</v>
      </c>
    </row>
    <row r="501" spans="1:16">
      <c r="A501" s="178">
        <v>4</v>
      </c>
      <c r="B501" s="178">
        <f>SQRT($C$13)</f>
        <v>2.4477468306808161</v>
      </c>
    </row>
    <row r="503" spans="1:16">
      <c r="A503" s="6" t="s">
        <v>668</v>
      </c>
      <c r="H503" s="6" t="s">
        <v>669</v>
      </c>
      <c r="M503" s="6" t="s">
        <v>670</v>
      </c>
    </row>
    <row r="504" spans="1:16">
      <c r="A504" s="6" t="s">
        <v>713</v>
      </c>
      <c r="B504" s="6" t="s">
        <v>714</v>
      </c>
      <c r="C504" s="6" t="s">
        <v>530</v>
      </c>
      <c r="D504" s="6" t="s">
        <v>715</v>
      </c>
      <c r="E504" s="6" t="s">
        <v>256</v>
      </c>
      <c r="F504" s="6" t="s">
        <v>708</v>
      </c>
      <c r="H504" s="6" t="s">
        <v>530</v>
      </c>
      <c r="I504" s="6" t="s">
        <v>715</v>
      </c>
      <c r="J504" s="6" t="s">
        <v>256</v>
      </c>
      <c r="K504" s="6" t="s">
        <v>708</v>
      </c>
      <c r="M504" s="6" t="s">
        <v>530</v>
      </c>
      <c r="N504" s="6" t="s">
        <v>715</v>
      </c>
      <c r="O504" s="6" t="s">
        <v>256</v>
      </c>
      <c r="P504" s="6" t="s">
        <v>708</v>
      </c>
    </row>
    <row r="505" spans="1:16">
      <c r="A505" s="178">
        <v>-180</v>
      </c>
      <c r="B505" s="178">
        <f t="shared" ref="B505:B568" si="17">TAN(A505*PI()/180)</f>
        <v>1.22514845490862E-16</v>
      </c>
      <c r="C505" s="178">
        <f t="shared" ref="C505:C536" si="18">$B$501/(SQRT(1/(1-$C$171^2)*(1/$E$171+B505^2/$F$172-2*$C$171*B505/SQRT($E$171*$F$172))))</f>
        <v>0.71227410840803596</v>
      </c>
      <c r="D505" s="178">
        <f t="shared" ref="D505:D568" si="19">C505*SQRT(B505^2+1)</f>
        <v>0.71227410840803596</v>
      </c>
      <c r="E505" s="178">
        <f t="shared" ref="E505:E568" si="20">D505*COS(A505*PI()/180)+$C$160</f>
        <v>-0.57375622967502304</v>
      </c>
      <c r="F505" s="178">
        <f t="shared" ref="F505:F568" si="21">D505*SIN(A505*PI()/180)+$D$160</f>
        <v>-0.61482402784515977</v>
      </c>
      <c r="H505" s="178">
        <f t="shared" ref="H505:H536" si="22">$B$501/(SQRT(1/(1-$C$174^2)*(1/$E$174+B505^2/$F$175-2*$C$174*B505/SQRT($E$174*$F$175))))</f>
        <v>0.98430705766287108</v>
      </c>
      <c r="I505" s="178">
        <f t="shared" ref="I505:I568" si="23">H505*SQRT(B505^2+1)</f>
        <v>0.98430705766287108</v>
      </c>
      <c r="J505" s="178">
        <f t="shared" ref="J505:J568" si="24">I505*COS(A505*PI()/180)+$C$161</f>
        <v>-0.2395147344829005</v>
      </c>
      <c r="K505" s="178">
        <f t="shared" ref="K505:K568" si="25">I505*SIN(A505*PI()/180)+$D$161</f>
        <v>0.9534591418726186</v>
      </c>
      <c r="M505" s="178">
        <f t="shared" ref="M505:M536" si="26">$B$501/(SQRT(1/(1-$C$177^2)*(1/$E$177+B505^2/$F$178-2*$C$177*B505/SQRT($E$177*$F$178))))</f>
        <v>1.5402504380225392</v>
      </c>
      <c r="N505" s="178">
        <f t="shared" ref="N505:N568" si="27">M505*SQRT(B505^2+1)</f>
        <v>1.5402504380225392</v>
      </c>
      <c r="O505" s="178">
        <f t="shared" ref="O505:O568" si="28">N505*COS(A505*PI()/180)+$C$162</f>
        <v>-2.4235606399355212</v>
      </c>
      <c r="P505" s="178">
        <f t="shared" ref="P505:P568" si="29">N505*SIN(A505*PI()/180)+$D$162</f>
        <v>-0.33863511402745983</v>
      </c>
    </row>
    <row r="506" spans="1:16">
      <c r="A506" s="178">
        <f t="shared" ref="A506:A569" si="30">A505+$A$501</f>
        <v>-176</v>
      </c>
      <c r="B506" s="178">
        <f t="shared" si="17"/>
        <v>6.9926811943510636E-2</v>
      </c>
      <c r="C506" s="178">
        <f t="shared" si="18"/>
        <v>0.68389574885052207</v>
      </c>
      <c r="D506" s="178">
        <f t="shared" si="19"/>
        <v>0.68556575256736185</v>
      </c>
      <c r="E506" s="178">
        <f t="shared" si="20"/>
        <v>-0.54537787011750904</v>
      </c>
      <c r="F506" s="178">
        <f t="shared" si="21"/>
        <v>-0.66264667726399651</v>
      </c>
      <c r="H506" s="178">
        <f t="shared" si="22"/>
        <v>0.92846624145156598</v>
      </c>
      <c r="I506" s="178">
        <f t="shared" si="23"/>
        <v>0.93073346138499957</v>
      </c>
      <c r="J506" s="178">
        <f t="shared" si="24"/>
        <v>-0.18367391827159529</v>
      </c>
      <c r="K506" s="178">
        <f t="shared" si="25"/>
        <v>0.88853445761073691</v>
      </c>
      <c r="M506" s="178">
        <f t="shared" si="26"/>
        <v>1.4384802724405759</v>
      </c>
      <c r="N506" s="178">
        <f t="shared" si="27"/>
        <v>1.4419928946576523</v>
      </c>
      <c r="O506" s="178">
        <f t="shared" si="28"/>
        <v>-2.3217904743535578</v>
      </c>
      <c r="P506" s="178">
        <f t="shared" si="29"/>
        <v>-0.43922345352286174</v>
      </c>
    </row>
    <row r="507" spans="1:16">
      <c r="A507" s="178">
        <f t="shared" si="30"/>
        <v>-172</v>
      </c>
      <c r="B507" s="178">
        <f t="shared" si="17"/>
        <v>0.14054083470239176</v>
      </c>
      <c r="C507" s="178">
        <f t="shared" si="18"/>
        <v>0.65701459968740583</v>
      </c>
      <c r="D507" s="178">
        <f t="shared" si="19"/>
        <v>0.66347145831162468</v>
      </c>
      <c r="E507" s="178">
        <f t="shared" si="20"/>
        <v>-0.51849672095439292</v>
      </c>
      <c r="F507" s="178">
        <f t="shared" si="21"/>
        <v>-0.70716140809688544</v>
      </c>
      <c r="H507" s="178">
        <f t="shared" si="22"/>
        <v>0.87753730714098954</v>
      </c>
      <c r="I507" s="178">
        <f t="shared" si="23"/>
        <v>0.88616136866471051</v>
      </c>
      <c r="J507" s="178">
        <f t="shared" si="24"/>
        <v>-0.13274498396101897</v>
      </c>
      <c r="K507" s="178">
        <f t="shared" si="25"/>
        <v>0.8301293162445349</v>
      </c>
      <c r="M507" s="178">
        <f t="shared" si="26"/>
        <v>1.3399907542580953</v>
      </c>
      <c r="N507" s="178">
        <f t="shared" si="27"/>
        <v>1.3531596105698445</v>
      </c>
      <c r="O507" s="178">
        <f t="shared" si="28"/>
        <v>-2.223300956171077</v>
      </c>
      <c r="P507" s="178">
        <f t="shared" si="29"/>
        <v>-0.5269585331243799</v>
      </c>
    </row>
    <row r="508" spans="1:16">
      <c r="A508" s="178">
        <f t="shared" si="30"/>
        <v>-168</v>
      </c>
      <c r="B508" s="178">
        <f t="shared" si="17"/>
        <v>0.2125565616700221</v>
      </c>
      <c r="C508" s="178">
        <f t="shared" si="18"/>
        <v>0.63132839584146605</v>
      </c>
      <c r="D508" s="178">
        <f t="shared" si="19"/>
        <v>0.64543264775974907</v>
      </c>
      <c r="E508" s="178">
        <f t="shared" si="20"/>
        <v>-0.49281051710845314</v>
      </c>
      <c r="F508" s="178">
        <f t="shared" si="21"/>
        <v>-0.74901702094987233</v>
      </c>
      <c r="H508" s="178">
        <f t="shared" si="22"/>
        <v>0.8305618750239836</v>
      </c>
      <c r="I508" s="178">
        <f t="shared" si="23"/>
        <v>0.84911712138423345</v>
      </c>
      <c r="J508" s="178">
        <f t="shared" si="24"/>
        <v>-8.5769551844013026E-2</v>
      </c>
      <c r="K508" s="178">
        <f t="shared" si="25"/>
        <v>0.77691776546331415</v>
      </c>
      <c r="M508" s="178">
        <f t="shared" si="26"/>
        <v>1.2463775816041882</v>
      </c>
      <c r="N508" s="178">
        <f t="shared" si="27"/>
        <v>1.2742223982036622</v>
      </c>
      <c r="O508" s="178">
        <f t="shared" si="28"/>
        <v>-2.1296877835171704</v>
      </c>
      <c r="P508" s="178">
        <f t="shared" si="29"/>
        <v>-0.60356084731584325</v>
      </c>
    </row>
    <row r="509" spans="1:16">
      <c r="A509" s="178">
        <f t="shared" si="30"/>
        <v>-164</v>
      </c>
      <c r="B509" s="178">
        <f t="shared" si="17"/>
        <v>0.28674538575880848</v>
      </c>
      <c r="C509" s="178">
        <f t="shared" si="18"/>
        <v>0.60657128350665379</v>
      </c>
      <c r="D509" s="178">
        <f t="shared" si="19"/>
        <v>0.63101576404181992</v>
      </c>
      <c r="E509" s="178">
        <f t="shared" si="20"/>
        <v>-0.46805340477364088</v>
      </c>
      <c r="F509" s="178">
        <f t="shared" si="21"/>
        <v>-0.7887555445244907</v>
      </c>
      <c r="H509" s="178">
        <f t="shared" si="22"/>
        <v>0.78676366378982521</v>
      </c>
      <c r="I509" s="178">
        <f t="shared" si="23"/>
        <v>0.81846979559696242</v>
      </c>
      <c r="J509" s="178">
        <f t="shared" si="24"/>
        <v>-4.1971340609854524E-2</v>
      </c>
      <c r="K509" s="178">
        <f t="shared" si="25"/>
        <v>0.72785829159819182</v>
      </c>
      <c r="M509" s="178">
        <f t="shared" si="26"/>
        <v>1.1581903220723182</v>
      </c>
      <c r="N509" s="178">
        <f t="shared" si="27"/>
        <v>1.2048647386722</v>
      </c>
      <c r="O509" s="178">
        <f t="shared" si="28"/>
        <v>-2.0415005239853001</v>
      </c>
      <c r="P509" s="178">
        <f t="shared" si="29"/>
        <v>-0.67074084471220519</v>
      </c>
    </row>
    <row r="510" spans="1:16">
      <c r="A510" s="178">
        <f t="shared" si="30"/>
        <v>-160</v>
      </c>
      <c r="B510" s="178">
        <f t="shared" si="17"/>
        <v>0.36397023426620256</v>
      </c>
      <c r="C510" s="178">
        <f t="shared" si="18"/>
        <v>0.58250522554562301</v>
      </c>
      <c r="D510" s="178">
        <f t="shared" si="19"/>
        <v>0.61988911337671992</v>
      </c>
      <c r="E510" s="178">
        <f t="shared" si="20"/>
        <v>-0.4439873468126101</v>
      </c>
      <c r="F510" s="178">
        <f t="shared" si="21"/>
        <v>-0.82683859124828718</v>
      </c>
      <c r="H510" s="178">
        <f t="shared" si="22"/>
        <v>0.74550410144140455</v>
      </c>
      <c r="I510" s="178">
        <f t="shared" si="23"/>
        <v>0.79334889404357045</v>
      </c>
      <c r="J510" s="178">
        <f t="shared" si="24"/>
        <v>-7.1177826143398182E-4</v>
      </c>
      <c r="K510" s="178">
        <f t="shared" si="25"/>
        <v>0.68211783942457582</v>
      </c>
      <c r="M510" s="178">
        <f t="shared" si="26"/>
        <v>1.0753824848847067</v>
      </c>
      <c r="N510" s="178">
        <f t="shared" si="27"/>
        <v>1.1443981373242185</v>
      </c>
      <c r="O510" s="178">
        <f t="shared" si="28"/>
        <v>-1.9586926867976886</v>
      </c>
      <c r="P510" s="178">
        <f t="shared" si="29"/>
        <v>-0.73004232897671728</v>
      </c>
    </row>
    <row r="511" spans="1:16">
      <c r="A511" s="178">
        <f t="shared" si="30"/>
        <v>-156</v>
      </c>
      <c r="B511" s="178">
        <f t="shared" si="17"/>
        <v>0.44522868530853649</v>
      </c>
      <c r="C511" s="178">
        <f t="shared" si="18"/>
        <v>0.5589124146771971</v>
      </c>
      <c r="D511" s="178">
        <f t="shared" si="19"/>
        <v>0.61180580561307552</v>
      </c>
      <c r="E511" s="178">
        <f t="shared" si="20"/>
        <v>-0.42039453594418419</v>
      </c>
      <c r="F511" s="178">
        <f t="shared" si="21"/>
        <v>-0.86366786743450774</v>
      </c>
      <c r="H511" s="178">
        <f t="shared" si="22"/>
        <v>0.70624833715759949</v>
      </c>
      <c r="I511" s="178">
        <f t="shared" si="23"/>
        <v>0.77308505148727857</v>
      </c>
      <c r="J511" s="178">
        <f t="shared" si="24"/>
        <v>3.854398602237108E-2</v>
      </c>
      <c r="K511" s="178">
        <f t="shared" si="25"/>
        <v>0.63901712321860071</v>
      </c>
      <c r="M511" s="178">
        <f t="shared" si="26"/>
        <v>0.99759495811523136</v>
      </c>
      <c r="N511" s="178">
        <f t="shared" si="27"/>
        <v>1.0920036324076525</v>
      </c>
      <c r="O511" s="178">
        <f t="shared" si="28"/>
        <v>-1.8809051600282132</v>
      </c>
      <c r="P511" s="178">
        <f t="shared" si="29"/>
        <v>-0.78279300569952859</v>
      </c>
    </row>
    <row r="512" spans="1:16">
      <c r="A512" s="178">
        <f t="shared" si="30"/>
        <v>-152</v>
      </c>
      <c r="B512" s="178">
        <f t="shared" si="17"/>
        <v>0.53170943166147921</v>
      </c>
      <c r="C512" s="178">
        <f t="shared" si="18"/>
        <v>0.5355884966999841</v>
      </c>
      <c r="D512" s="178">
        <f t="shared" si="19"/>
        <v>0.60659149085596731</v>
      </c>
      <c r="E512" s="178">
        <f t="shared" si="20"/>
        <v>-0.39707061796697107</v>
      </c>
      <c r="F512" s="178">
        <f t="shared" si="21"/>
        <v>-0.89960148302993415</v>
      </c>
      <c r="H512" s="178">
        <f t="shared" si="22"/>
        <v>0.66853905056891261</v>
      </c>
      <c r="I512" s="178">
        <f t="shared" si="23"/>
        <v>0.7571673063904355</v>
      </c>
      <c r="J512" s="178">
        <f t="shared" si="24"/>
        <v>7.6253272611058076E-2</v>
      </c>
      <c r="K512" s="178">
        <f t="shared" si="25"/>
        <v>0.5979906232511174</v>
      </c>
      <c r="M512" s="178">
        <f t="shared" si="26"/>
        <v>0.9243235865092404</v>
      </c>
      <c r="N512" s="178">
        <f t="shared" si="27"/>
        <v>1.0468612112258451</v>
      </c>
      <c r="O512" s="178">
        <f t="shared" si="28"/>
        <v>-1.8076337884222224</v>
      </c>
      <c r="P512" s="178">
        <f t="shared" si="29"/>
        <v>-0.83010668288158795</v>
      </c>
    </row>
    <row r="513" spans="1:16">
      <c r="A513" s="178">
        <f t="shared" si="30"/>
        <v>-148</v>
      </c>
      <c r="B513" s="178">
        <f t="shared" si="17"/>
        <v>0.62486935190932746</v>
      </c>
      <c r="C513" s="178">
        <f t="shared" si="18"/>
        <v>0.51233634112175397</v>
      </c>
      <c r="D513" s="178">
        <f t="shared" si="19"/>
        <v>0.60413594870832821</v>
      </c>
      <c r="E513" s="178">
        <f t="shared" si="20"/>
        <v>-0.37381846238874106</v>
      </c>
      <c r="F513" s="178">
        <f t="shared" si="21"/>
        <v>-0.93496730528150618</v>
      </c>
      <c r="H513" s="178">
        <f t="shared" si="22"/>
        <v>0.6319759514856006</v>
      </c>
      <c r="I513" s="178">
        <f t="shared" si="23"/>
        <v>0.74521239343603218</v>
      </c>
      <c r="J513" s="178">
        <f t="shared" si="24"/>
        <v>0.11281637169436998</v>
      </c>
      <c r="K513" s="178">
        <f t="shared" si="25"/>
        <v>0.5585567386455309</v>
      </c>
      <c r="M513" s="178">
        <f t="shared" si="26"/>
        <v>0.85501316498649893</v>
      </c>
      <c r="N513" s="178">
        <f t="shared" si="27"/>
        <v>1.0082130587423526</v>
      </c>
      <c r="O513" s="178">
        <f t="shared" si="28"/>
        <v>-1.7383233668994809</v>
      </c>
      <c r="P513" s="178">
        <f t="shared" si="29"/>
        <v>-0.8729066363065161</v>
      </c>
    </row>
    <row r="514" spans="1:16">
      <c r="A514" s="178">
        <f t="shared" si="30"/>
        <v>-144</v>
      </c>
      <c r="B514" s="178">
        <f t="shared" si="17"/>
        <v>0.72654252800536101</v>
      </c>
      <c r="C514" s="178">
        <f t="shared" si="18"/>
        <v>0.48896007089905152</v>
      </c>
      <c r="D514" s="178">
        <f t="shared" si="19"/>
        <v>0.60438788591434445</v>
      </c>
      <c r="E514" s="178">
        <f t="shared" si="20"/>
        <v>-0.35044219216603856</v>
      </c>
      <c r="F514" s="178">
        <f t="shared" si="21"/>
        <v>-0.97007431384983711</v>
      </c>
      <c r="H514" s="178">
        <f t="shared" si="22"/>
        <v>0.5961993353995817</v>
      </c>
      <c r="I514" s="178">
        <f t="shared" si="23"/>
        <v>0.7369429066940798</v>
      </c>
      <c r="J514" s="178">
        <f t="shared" si="24"/>
        <v>0.14859298778038887</v>
      </c>
      <c r="K514" s="178">
        <f t="shared" si="25"/>
        <v>0.5202949695362904</v>
      </c>
      <c r="M514" s="178">
        <f t="shared" si="26"/>
        <v>0.78910707440414996</v>
      </c>
      <c r="N514" s="178">
        <f t="shared" si="27"/>
        <v>0.97538998548951383</v>
      </c>
      <c r="O514" s="178">
        <f t="shared" si="28"/>
        <v>-1.6724172763171321</v>
      </c>
      <c r="P514" s="178">
        <f t="shared" si="29"/>
        <v>-0.91195496273196541</v>
      </c>
    </row>
    <row r="515" spans="1:16">
      <c r="A515" s="178">
        <f t="shared" si="30"/>
        <v>-140</v>
      </c>
      <c r="B515" s="178">
        <f t="shared" si="17"/>
        <v>0.83909963117728037</v>
      </c>
      <c r="C515" s="178">
        <f t="shared" si="18"/>
        <v>0.46525904369706311</v>
      </c>
      <c r="D515" s="178">
        <f t="shared" si="19"/>
        <v>0.60735254706991137</v>
      </c>
      <c r="E515" s="178">
        <f t="shared" si="20"/>
        <v>-0.32674116496405015</v>
      </c>
      <c r="F515" s="178">
        <f t="shared" si="21"/>
        <v>-1.0052227198132595</v>
      </c>
      <c r="H515" s="178">
        <f t="shared" si="22"/>
        <v>0.56087643213633287</v>
      </c>
      <c r="I515" s="178">
        <f t="shared" si="23"/>
        <v>0.73217218292545005</v>
      </c>
      <c r="J515" s="178">
        <f t="shared" si="24"/>
        <v>0.18391589104363781</v>
      </c>
      <c r="K515" s="178">
        <f t="shared" si="25"/>
        <v>0.48282793453099293</v>
      </c>
      <c r="M515" s="178">
        <f t="shared" si="26"/>
        <v>0.72607108484917959</v>
      </c>
      <c r="N515" s="178">
        <f t="shared" si="27"/>
        <v>0.9478184867355145</v>
      </c>
      <c r="O515" s="178">
        <f t="shared" si="28"/>
        <v>-1.6093812867621615</v>
      </c>
      <c r="P515" s="178">
        <f t="shared" si="29"/>
        <v>-0.94788109353289407</v>
      </c>
    </row>
    <row r="516" spans="1:16">
      <c r="A516" s="178">
        <f t="shared" si="30"/>
        <v>-136</v>
      </c>
      <c r="B516" s="178">
        <f t="shared" si="17"/>
        <v>0.96568877480707371</v>
      </c>
      <c r="C516" s="178">
        <f t="shared" si="18"/>
        <v>0.44102144663990528</v>
      </c>
      <c r="D516" s="178">
        <f t="shared" si="19"/>
        <v>0.61309195797630123</v>
      </c>
      <c r="E516" s="178">
        <f t="shared" si="20"/>
        <v>-0.30250356790689237</v>
      </c>
      <c r="F516" s="178">
        <f t="shared" si="21"/>
        <v>-1.0407134883144931</v>
      </c>
      <c r="H516" s="178">
        <f t="shared" si="22"/>
        <v>0.52568955052350075</v>
      </c>
      <c r="I516" s="178">
        <f t="shared" si="23"/>
        <v>0.73079447331569347</v>
      </c>
      <c r="J516" s="178">
        <f t="shared" si="24"/>
        <v>0.21910277265646982</v>
      </c>
      <c r="K516" s="178">
        <f t="shared" si="25"/>
        <v>0.44580664389869806</v>
      </c>
      <c r="M516" s="178">
        <f t="shared" si="26"/>
        <v>0.66540251766726721</v>
      </c>
      <c r="N516" s="178">
        <f t="shared" si="27"/>
        <v>0.92501835343186711</v>
      </c>
      <c r="O516" s="178">
        <f t="shared" si="28"/>
        <v>-1.5487127195802493</v>
      </c>
      <c r="P516" s="178">
        <f t="shared" si="29"/>
        <v>-0.98120685606710523</v>
      </c>
    </row>
    <row r="517" spans="1:16">
      <c r="A517" s="178">
        <f t="shared" si="30"/>
        <v>-132</v>
      </c>
      <c r="B517" s="178">
        <f t="shared" si="17"/>
        <v>1.1106125148291928</v>
      </c>
      <c r="C517" s="178">
        <f t="shared" si="18"/>
        <v>0.41601711317067669</v>
      </c>
      <c r="D517" s="178">
        <f t="shared" si="19"/>
        <v>0.62172781997594739</v>
      </c>
      <c r="E517" s="178">
        <f t="shared" si="20"/>
        <v>-0.27749923443766378</v>
      </c>
      <c r="F517" s="178">
        <f t="shared" si="21"/>
        <v>-1.0768578401156259</v>
      </c>
      <c r="H517" s="178">
        <f t="shared" si="22"/>
        <v>0.49032519303388611</v>
      </c>
      <c r="I517" s="178">
        <f t="shared" si="23"/>
        <v>0.73277950279698034</v>
      </c>
      <c r="J517" s="178">
        <f t="shared" si="24"/>
        <v>0.25446713014608446</v>
      </c>
      <c r="K517" s="178">
        <f t="shared" si="25"/>
        <v>0.40889784615314506</v>
      </c>
      <c r="M517" s="178">
        <f t="shared" si="26"/>
        <v>0.60663132146811904</v>
      </c>
      <c r="N517" s="178">
        <f t="shared" si="27"/>
        <v>0.90659628434748285</v>
      </c>
      <c r="O517" s="178">
        <f t="shared" si="28"/>
        <v>-1.4899415233811011</v>
      </c>
      <c r="P517" s="178">
        <f t="shared" si="29"/>
        <v>-1.012367451537324</v>
      </c>
    </row>
    <row r="518" spans="1:16">
      <c r="A518" s="178">
        <f t="shared" si="30"/>
        <v>-128</v>
      </c>
      <c r="B518" s="178">
        <f t="shared" si="17"/>
        <v>1.2799416321930788</v>
      </c>
      <c r="C518" s="178">
        <f t="shared" si="18"/>
        <v>0.3899890832704741</v>
      </c>
      <c r="D518" s="178">
        <f t="shared" si="19"/>
        <v>0.63344727403024004</v>
      </c>
      <c r="E518" s="178">
        <f t="shared" si="20"/>
        <v>-0.25147120453746119</v>
      </c>
      <c r="F518" s="178">
        <f t="shared" si="21"/>
        <v>-1.1139872916238529</v>
      </c>
      <c r="H518" s="178">
        <f t="shared" si="22"/>
        <v>0.45446340364138499</v>
      </c>
      <c r="I518" s="178">
        <f t="shared" si="23"/>
        <v>0.73817092973211218</v>
      </c>
      <c r="J518" s="178">
        <f t="shared" si="24"/>
        <v>0.29032891953858553</v>
      </c>
      <c r="K518" s="178">
        <f t="shared" si="25"/>
        <v>0.37177251124384236</v>
      </c>
      <c r="M518" s="178">
        <f t="shared" si="26"/>
        <v>0.54931680708198305</v>
      </c>
      <c r="N518" s="178">
        <f t="shared" si="27"/>
        <v>0.89223839577004271</v>
      </c>
      <c r="O518" s="178">
        <f t="shared" si="28"/>
        <v>-1.4326270089949651</v>
      </c>
      <c r="P518" s="178">
        <f t="shared" si="29"/>
        <v>-1.0417285646750638</v>
      </c>
    </row>
    <row r="519" spans="1:16">
      <c r="A519" s="178">
        <f t="shared" si="30"/>
        <v>-124</v>
      </c>
      <c r="B519" s="178">
        <f t="shared" si="17"/>
        <v>1.4825609685127408</v>
      </c>
      <c r="C519" s="178">
        <f t="shared" si="18"/>
        <v>0.36264329323131833</v>
      </c>
      <c r="D519" s="178">
        <f t="shared" si="19"/>
        <v>0.6485119732036968</v>
      </c>
      <c r="E519" s="178">
        <f t="shared" si="20"/>
        <v>-0.22412541449830534</v>
      </c>
      <c r="F519" s="178">
        <f t="shared" si="21"/>
        <v>-1.1524648198828329</v>
      </c>
      <c r="H519" s="178">
        <f t="shared" si="22"/>
        <v>0.4177666263889675</v>
      </c>
      <c r="I519" s="178">
        <f t="shared" si="23"/>
        <v>0.74708856960811254</v>
      </c>
      <c r="J519" s="178">
        <f t="shared" si="24"/>
        <v>0.32702569679100307</v>
      </c>
      <c r="K519" s="178">
        <f t="shared" si="25"/>
        <v>0.33409464764109076</v>
      </c>
      <c r="M519" s="178">
        <f t="shared" si="26"/>
        <v>0.49304212117115559</v>
      </c>
      <c r="N519" s="178">
        <f t="shared" si="27"/>
        <v>0.88170310837456523</v>
      </c>
      <c r="O519" s="178">
        <f t="shared" si="28"/>
        <v>-1.3763523230841375</v>
      </c>
      <c r="P519" s="178">
        <f t="shared" si="29"/>
        <v>-1.0696001187085442</v>
      </c>
    </row>
    <row r="520" spans="1:16">
      <c r="A520" s="178">
        <f t="shared" si="30"/>
        <v>-120</v>
      </c>
      <c r="B520" s="178">
        <f t="shared" si="17"/>
        <v>1.7320508075688783</v>
      </c>
      <c r="C520" s="178">
        <f t="shared" si="18"/>
        <v>0.33363557967390534</v>
      </c>
      <c r="D520" s="178">
        <f t="shared" si="19"/>
        <v>0.667271159347811</v>
      </c>
      <c r="E520" s="178">
        <f t="shared" si="20"/>
        <v>-0.1951177009408924</v>
      </c>
      <c r="F520" s="178">
        <f t="shared" si="21"/>
        <v>-1.1926978030530582</v>
      </c>
      <c r="H520" s="178">
        <f t="shared" si="22"/>
        <v>0.37986728990735696</v>
      </c>
      <c r="I520" s="178">
        <f t="shared" si="23"/>
        <v>0.75973457981471426</v>
      </c>
      <c r="J520" s="178">
        <f t="shared" si="24"/>
        <v>0.36492503327261361</v>
      </c>
      <c r="K520" s="178">
        <f t="shared" si="25"/>
        <v>0.29550969561957996</v>
      </c>
      <c r="M520" s="178">
        <f t="shared" si="26"/>
        <v>0.43740756305319178</v>
      </c>
      <c r="N520" s="178">
        <f t="shared" si="27"/>
        <v>0.8748151261063839</v>
      </c>
      <c r="O520" s="178">
        <f t="shared" si="28"/>
        <v>-1.3207177649661739</v>
      </c>
      <c r="P520" s="178">
        <f t="shared" si="29"/>
        <v>-1.0962472368504754</v>
      </c>
    </row>
    <row r="521" spans="1:16">
      <c r="A521" s="178">
        <f t="shared" si="30"/>
        <v>-116</v>
      </c>
      <c r="B521" s="178">
        <f t="shared" si="17"/>
        <v>2.0503038415792956</v>
      </c>
      <c r="C521" s="178">
        <f t="shared" si="18"/>
        <v>0.30255488843354317</v>
      </c>
      <c r="D521" s="178">
        <f t="shared" si="19"/>
        <v>0.69017974985273756</v>
      </c>
      <c r="E521" s="178">
        <f t="shared" si="20"/>
        <v>-0.16403700970053028</v>
      </c>
      <c r="F521" s="178">
        <f t="shared" si="21"/>
        <v>-1.2351534778890485</v>
      </c>
      <c r="H521" s="178">
        <f t="shared" si="22"/>
        <v>0.34035318253590208</v>
      </c>
      <c r="I521" s="178">
        <f t="shared" si="23"/>
        <v>0.77640416124299172</v>
      </c>
      <c r="J521" s="178">
        <f t="shared" si="24"/>
        <v>0.40443914064406844</v>
      </c>
      <c r="K521" s="178">
        <f t="shared" si="25"/>
        <v>0.2556317042255194</v>
      </c>
      <c r="M521" s="178">
        <f t="shared" si="26"/>
        <v>0.38202328072969177</v>
      </c>
      <c r="N521" s="178">
        <f t="shared" si="27"/>
        <v>0.87146082384272994</v>
      </c>
      <c r="O521" s="178">
        <f t="shared" si="28"/>
        <v>-1.2653334826426739</v>
      </c>
      <c r="P521" s="178">
        <f t="shared" si="29"/>
        <v>-1.1218989140802724</v>
      </c>
    </row>
    <row r="522" spans="1:16">
      <c r="A522" s="178">
        <f t="shared" si="30"/>
        <v>-112</v>
      </c>
      <c r="B522" s="178">
        <f t="shared" si="17"/>
        <v>2.4750868534162955</v>
      </c>
      <c r="C522" s="178">
        <f t="shared" si="18"/>
        <v>0.2689011575102449</v>
      </c>
      <c r="D522" s="178">
        <f t="shared" si="19"/>
        <v>0.71782280994636338</v>
      </c>
      <c r="E522" s="178">
        <f t="shared" si="20"/>
        <v>-0.13038327877723191</v>
      </c>
      <c r="F522" s="178">
        <f t="shared" si="21"/>
        <v>-1.2803777476671914</v>
      </c>
      <c r="H522" s="178">
        <f t="shared" si="22"/>
        <v>0.29874941860157522</v>
      </c>
      <c r="I522" s="178">
        <f t="shared" si="23"/>
        <v>0.79750176278900831</v>
      </c>
      <c r="J522" s="178">
        <f t="shared" si="24"/>
        <v>0.4460429045783954</v>
      </c>
      <c r="K522" s="178">
        <f t="shared" si="25"/>
        <v>0.2140283834260982</v>
      </c>
      <c r="M522" s="178">
        <f t="shared" si="26"/>
        <v>0.32650154965023132</v>
      </c>
      <c r="N522" s="178">
        <f t="shared" si="27"/>
        <v>0.87158516531429142</v>
      </c>
      <c r="O522" s="178">
        <f t="shared" si="28"/>
        <v>-1.2098117515632132</v>
      </c>
      <c r="P522" s="178">
        <f t="shared" si="29"/>
        <v>-1.146754807186795</v>
      </c>
    </row>
    <row r="523" spans="1:16">
      <c r="A523" s="178">
        <f t="shared" si="30"/>
        <v>-108</v>
      </c>
      <c r="B523" s="178">
        <f t="shared" si="17"/>
        <v>3.077683537175254</v>
      </c>
      <c r="C523" s="178">
        <f t="shared" si="18"/>
        <v>0.23205575336736559</v>
      </c>
      <c r="D523" s="178">
        <f t="shared" si="19"/>
        <v>0.75094819246672084</v>
      </c>
      <c r="E523" s="178">
        <f t="shared" si="20"/>
        <v>-9.3537874634352619E-2</v>
      </c>
      <c r="F523" s="178">
        <f t="shared" si="21"/>
        <v>-1.3290181996907018</v>
      </c>
      <c r="H523" s="178">
        <f t="shared" si="22"/>
        <v>0.25449537510252657</v>
      </c>
      <c r="I523" s="178">
        <f t="shared" si="23"/>
        <v>0.82356433379108362</v>
      </c>
      <c r="J523" s="178">
        <f t="shared" si="24"/>
        <v>0.49029694807744401</v>
      </c>
      <c r="K523" s="178">
        <f t="shared" si="25"/>
        <v>0.17020291563233159</v>
      </c>
      <c r="M523" s="178">
        <f t="shared" si="26"/>
        <v>0.27044864113038958</v>
      </c>
      <c r="N523" s="178">
        <f t="shared" si="27"/>
        <v>0.87519018712038643</v>
      </c>
      <c r="O523" s="178">
        <f t="shared" si="28"/>
        <v>-1.1537588430433716</v>
      </c>
      <c r="P523" s="178">
        <f t="shared" si="29"/>
        <v>-1.1709904444858781</v>
      </c>
    </row>
    <row r="524" spans="1:16">
      <c r="A524" s="178">
        <f t="shared" si="30"/>
        <v>-104</v>
      </c>
      <c r="B524" s="178">
        <f t="shared" si="17"/>
        <v>4.0107809335358438</v>
      </c>
      <c r="C524" s="178">
        <f t="shared" si="18"/>
        <v>0.19124154850872144</v>
      </c>
      <c r="D524" s="178">
        <f t="shared" si="19"/>
        <v>0.79050946601868499</v>
      </c>
      <c r="E524" s="178">
        <f t="shared" si="20"/>
        <v>-5.2723669775708498E-2</v>
      </c>
      <c r="F524" s="178">
        <f t="shared" si="21"/>
        <v>-1.3818519843038097</v>
      </c>
      <c r="H524" s="178">
        <f t="shared" si="22"/>
        <v>0.20691432915281391</v>
      </c>
      <c r="I524" s="178">
        <f t="shared" si="23"/>
        <v>0.85529393129101317</v>
      </c>
      <c r="J524" s="178">
        <f t="shared" si="24"/>
        <v>0.53787799402715664</v>
      </c>
      <c r="K524" s="178">
        <f t="shared" si="25"/>
        <v>0.12357109563115287</v>
      </c>
      <c r="M524" s="178">
        <f t="shared" si="26"/>
        <v>0.21345616907893955</v>
      </c>
      <c r="N524" s="178">
        <f t="shared" si="27"/>
        <v>0.88233505507978782</v>
      </c>
      <c r="O524" s="178">
        <f t="shared" si="28"/>
        <v>-1.0967663709919215</v>
      </c>
      <c r="P524" s="178">
        <f t="shared" si="29"/>
        <v>-1.1947610471148737</v>
      </c>
    </row>
    <row r="525" spans="1:16">
      <c r="A525" s="178">
        <f t="shared" si="30"/>
        <v>-100</v>
      </c>
      <c r="B525" s="178">
        <f t="shared" si="17"/>
        <v>5.6712818196177111</v>
      </c>
      <c r="C525" s="178">
        <f t="shared" si="18"/>
        <v>0.14546876101420481</v>
      </c>
      <c r="D525" s="178">
        <f t="shared" si="19"/>
        <v>0.83772120714807807</v>
      </c>
      <c r="E525" s="178">
        <f t="shared" si="20"/>
        <v>-6.9508822811918392E-3</v>
      </c>
      <c r="F525" s="178">
        <f t="shared" si="21"/>
        <v>-1.4398183675073328</v>
      </c>
      <c r="H525" s="178">
        <f t="shared" si="22"/>
        <v>0.15517254137776437</v>
      </c>
      <c r="I525" s="178">
        <f t="shared" si="23"/>
        <v>0.89360305108065374</v>
      </c>
      <c r="J525" s="178">
        <f t="shared" si="24"/>
        <v>0.5896197818022062</v>
      </c>
      <c r="K525" s="178">
        <f t="shared" si="25"/>
        <v>7.3431929053026757E-2</v>
      </c>
      <c r="M525" s="178">
        <f t="shared" si="26"/>
        <v>0.15509173276207749</v>
      </c>
      <c r="N525" s="178">
        <f t="shared" si="27"/>
        <v>0.89313769280985245</v>
      </c>
      <c r="O525" s="178">
        <f t="shared" si="28"/>
        <v>-1.0384019346750595</v>
      </c>
      <c r="P525" s="178">
        <f t="shared" si="29"/>
        <v>-1.2182040384140382</v>
      </c>
    </row>
    <row r="526" spans="1:16">
      <c r="A526" s="178">
        <f t="shared" si="30"/>
        <v>-96</v>
      </c>
      <c r="B526" s="178">
        <f t="shared" si="17"/>
        <v>9.5143644542225978</v>
      </c>
      <c r="C526" s="178">
        <f t="shared" si="18"/>
        <v>9.3461768406406825E-2</v>
      </c>
      <c r="D526" s="178">
        <f t="shared" si="19"/>
        <v>0.89412745088474743</v>
      </c>
      <c r="E526" s="178">
        <f t="shared" si="20"/>
        <v>4.5056110326606114E-2</v>
      </c>
      <c r="F526" s="178">
        <f t="shared" si="21"/>
        <v>-1.5040533549998614</v>
      </c>
      <c r="H526" s="178">
        <f t="shared" si="22"/>
        <v>9.8223048274331218E-2</v>
      </c>
      <c r="I526" s="178">
        <f t="shared" si="23"/>
        <v>0.93967753092115591</v>
      </c>
      <c r="J526" s="178">
        <f t="shared" si="24"/>
        <v>0.64656927490563931</v>
      </c>
      <c r="K526" s="178">
        <f t="shared" si="25"/>
        <v>1.8929262785931433E-2</v>
      </c>
      <c r="M526" s="178">
        <f t="shared" si="26"/>
        <v>9.4888636742227472E-2</v>
      </c>
      <c r="N526" s="178">
        <f t="shared" si="27"/>
        <v>0.90777797526074488</v>
      </c>
      <c r="O526" s="178">
        <f t="shared" si="28"/>
        <v>-0.97819883865520951</v>
      </c>
      <c r="P526" s="178">
        <f t="shared" si="29"/>
        <v>-1.2414401865573492</v>
      </c>
    </row>
    <row r="527" spans="1:16">
      <c r="A527" s="178">
        <f t="shared" si="30"/>
        <v>-92</v>
      </c>
      <c r="B527" s="178">
        <f t="shared" si="17"/>
        <v>28.636253282915796</v>
      </c>
      <c r="C527" s="178">
        <f t="shared" si="18"/>
        <v>3.3562127209044418E-2</v>
      </c>
      <c r="D527" s="178">
        <f t="shared" si="19"/>
        <v>0.96167940458119872</v>
      </c>
      <c r="E527" s="178">
        <f t="shared" si="20"/>
        <v>0.10495575152396852</v>
      </c>
      <c r="F527" s="178">
        <f t="shared" si="21"/>
        <v>-1.5759176033167954</v>
      </c>
      <c r="H527" s="178">
        <f t="shared" si="22"/>
        <v>3.472722834388732E-2</v>
      </c>
      <c r="I527" s="178">
        <f t="shared" si="23"/>
        <v>0.99506387269472929</v>
      </c>
      <c r="J527" s="178">
        <f t="shared" si="24"/>
        <v>0.71006509483608327</v>
      </c>
      <c r="K527" s="178">
        <f t="shared" si="25"/>
        <v>-4.099856479659103E-2</v>
      </c>
      <c r="M527" s="178">
        <f t="shared" si="26"/>
        <v>3.2334469114219007E-2</v>
      </c>
      <c r="N527" s="178">
        <f t="shared" si="27"/>
        <v>0.92650244758120159</v>
      </c>
      <c r="O527" s="178">
        <f t="shared" si="28"/>
        <v>-0.91564467102720104</v>
      </c>
      <c r="P527" s="178">
        <f t="shared" si="29"/>
        <v>-1.2645731613508531</v>
      </c>
    </row>
    <row r="528" spans="1:16">
      <c r="A528" s="178">
        <f t="shared" si="30"/>
        <v>-88</v>
      </c>
      <c r="B528" s="178">
        <f t="shared" si="17"/>
        <v>-28.636253282915515</v>
      </c>
      <c r="C528" s="178">
        <f t="shared" si="18"/>
        <v>3.6393371764455826E-2</v>
      </c>
      <c r="D528" s="178">
        <f t="shared" si="19"/>
        <v>1.0428050603333683</v>
      </c>
      <c r="E528" s="178">
        <f t="shared" si="20"/>
        <v>0.17491125049746875</v>
      </c>
      <c r="F528" s="178">
        <f t="shared" si="21"/>
        <v>-1.6569938395114225</v>
      </c>
      <c r="H528" s="178">
        <f t="shared" si="22"/>
        <v>3.7055946871229581E-2</v>
      </c>
      <c r="I528" s="178">
        <f t="shared" si="23"/>
        <v>1.0617902942014048</v>
      </c>
      <c r="J528" s="178">
        <f t="shared" si="24"/>
        <v>0.78184827005120017</v>
      </c>
      <c r="K528" s="178">
        <f t="shared" si="25"/>
        <v>-0.10768433837017233</v>
      </c>
      <c r="M528" s="178">
        <f t="shared" si="26"/>
        <v>3.3141624350420833E-2</v>
      </c>
      <c r="N528" s="178">
        <f t="shared" si="27"/>
        <v>0.94963043831075455</v>
      </c>
      <c r="O528" s="178">
        <f t="shared" si="28"/>
        <v>-0.85016857756256126</v>
      </c>
      <c r="P528" s="178">
        <f t="shared" si="29"/>
        <v>-1.287687063133351</v>
      </c>
    </row>
    <row r="529" spans="1:16">
      <c r="A529" s="178">
        <f t="shared" si="30"/>
        <v>-84</v>
      </c>
      <c r="B529" s="178">
        <f t="shared" si="17"/>
        <v>-9.5143644542225871</v>
      </c>
      <c r="C529" s="178">
        <f t="shared" si="18"/>
        <v>0.11920616313346483</v>
      </c>
      <c r="D529" s="178">
        <f t="shared" si="19"/>
        <v>1.1404182115279735</v>
      </c>
      <c r="E529" s="178">
        <f t="shared" si="20"/>
        <v>0.25772404186647779</v>
      </c>
      <c r="F529" s="178">
        <f t="shared" si="21"/>
        <v>-1.7489949090864565</v>
      </c>
      <c r="H529" s="178">
        <f t="shared" si="22"/>
        <v>0.11942722779110047</v>
      </c>
      <c r="I529" s="178">
        <f t="shared" si="23"/>
        <v>1.1425330867564516</v>
      </c>
      <c r="J529" s="178">
        <f t="shared" si="24"/>
        <v>0.86421955097107106</v>
      </c>
      <c r="K529" s="178">
        <f t="shared" si="25"/>
        <v>-0.18281502908937142</v>
      </c>
      <c r="M529" s="178">
        <f t="shared" si="26"/>
        <v>0.10218297310111984</v>
      </c>
      <c r="N529" s="178">
        <f t="shared" si="27"/>
        <v>0.97756122980084581</v>
      </c>
      <c r="O529" s="178">
        <f t="shared" si="28"/>
        <v>-0.78112722881186225</v>
      </c>
      <c r="P529" s="178">
        <f t="shared" si="29"/>
        <v>-1.310841161127537</v>
      </c>
    </row>
    <row r="530" spans="1:16">
      <c r="A530" s="178">
        <f t="shared" si="30"/>
        <v>-80</v>
      </c>
      <c r="B530" s="178">
        <f t="shared" si="17"/>
        <v>-5.6712818196177066</v>
      </c>
      <c r="C530" s="178">
        <f t="shared" si="18"/>
        <v>0.21840224357926666</v>
      </c>
      <c r="D530" s="178">
        <f t="shared" si="19"/>
        <v>1.2577283937766262</v>
      </c>
      <c r="E530" s="178">
        <f t="shared" si="20"/>
        <v>0.35692012231227954</v>
      </c>
      <c r="F530" s="178">
        <f t="shared" si="21"/>
        <v>-1.8534447012199724</v>
      </c>
      <c r="H530" s="178">
        <f t="shared" si="22"/>
        <v>0.21546947450412898</v>
      </c>
      <c r="I530" s="178">
        <f t="shared" si="23"/>
        <v>1.2408392497928469</v>
      </c>
      <c r="J530" s="178">
        <f t="shared" si="24"/>
        <v>0.96026179768409947</v>
      </c>
      <c r="K530" s="178">
        <f t="shared" si="25"/>
        <v>-0.2685289715652287</v>
      </c>
      <c r="M530" s="178">
        <f t="shared" si="26"/>
        <v>0.17552037086964969</v>
      </c>
      <c r="N530" s="178">
        <f t="shared" si="27"/>
        <v>1.0107815309545618</v>
      </c>
      <c r="O530" s="178">
        <f t="shared" si="28"/>
        <v>-0.70778983104333237</v>
      </c>
      <c r="P530" s="178">
        <f t="shared" si="29"/>
        <v>-1.3340606023130612</v>
      </c>
    </row>
    <row r="531" spans="1:16">
      <c r="A531" s="178">
        <f t="shared" si="30"/>
        <v>-76</v>
      </c>
      <c r="B531" s="178">
        <f t="shared" si="17"/>
        <v>-4.010780933535842</v>
      </c>
      <c r="C531" s="178">
        <f t="shared" si="18"/>
        <v>0.33809037000106096</v>
      </c>
      <c r="D531" s="178">
        <f t="shared" si="19"/>
        <v>1.3975186874384145</v>
      </c>
      <c r="E531" s="178">
        <f t="shared" si="20"/>
        <v>0.47660824873407392</v>
      </c>
      <c r="F531" s="178">
        <f t="shared" si="21"/>
        <v>-1.9708304376574932</v>
      </c>
      <c r="H531" s="178">
        <f t="shared" si="22"/>
        <v>0.32935344812471606</v>
      </c>
      <c r="I531" s="178">
        <f t="shared" si="23"/>
        <v>1.3614040486427481</v>
      </c>
      <c r="J531" s="178">
        <f t="shared" si="24"/>
        <v>1.0741457713046867</v>
      </c>
      <c r="K531" s="178">
        <f t="shared" si="25"/>
        <v>-0.36750538826027868</v>
      </c>
      <c r="M531" s="178">
        <f t="shared" si="26"/>
        <v>0.25398695113253456</v>
      </c>
      <c r="N531" s="178">
        <f t="shared" si="27"/>
        <v>1.0498716972391451</v>
      </c>
      <c r="O531" s="178">
        <f t="shared" si="28"/>
        <v>-0.62932325078044737</v>
      </c>
      <c r="P531" s="178">
        <f t="shared" si="29"/>
        <v>-1.3573211349967291</v>
      </c>
    </row>
    <row r="532" spans="1:16">
      <c r="A532" s="178">
        <f t="shared" si="30"/>
        <v>-72</v>
      </c>
      <c r="B532" s="178">
        <f t="shared" si="17"/>
        <v>-3.0776835371752527</v>
      </c>
      <c r="C532" s="178">
        <f t="shared" si="18"/>
        <v>0.48212319572879569</v>
      </c>
      <c r="D532" s="178">
        <f t="shared" si="19"/>
        <v>1.5601834349078187</v>
      </c>
      <c r="E532" s="178">
        <f t="shared" si="20"/>
        <v>0.62064107446180861</v>
      </c>
      <c r="F532" s="178">
        <f t="shared" si="21"/>
        <v>-2.0986466502299961</v>
      </c>
      <c r="H532" s="178">
        <f t="shared" si="22"/>
        <v>0.46672408287017114</v>
      </c>
      <c r="I532" s="178">
        <f t="shared" si="23"/>
        <v>1.5103508589041186</v>
      </c>
      <c r="J532" s="178">
        <f t="shared" si="24"/>
        <v>1.2115164060501415</v>
      </c>
      <c r="K532" s="178">
        <f t="shared" si="25"/>
        <v>-0.48296988438012523</v>
      </c>
      <c r="M532" s="178">
        <f t="shared" si="26"/>
        <v>0.33853048557310211</v>
      </c>
      <c r="N532" s="178">
        <f t="shared" si="27"/>
        <v>1.0955076637705701</v>
      </c>
      <c r="O532" s="178">
        <f t="shared" si="28"/>
        <v>-0.54477971633987998</v>
      </c>
      <c r="P532" s="178">
        <f t="shared" si="29"/>
        <v>-1.3805248163077404</v>
      </c>
    </row>
    <row r="533" spans="1:16">
      <c r="A533" s="178">
        <f t="shared" si="30"/>
        <v>-68</v>
      </c>
      <c r="B533" s="178">
        <f t="shared" si="17"/>
        <v>-2.4750868534162964</v>
      </c>
      <c r="C533" s="178">
        <f t="shared" si="18"/>
        <v>0.65158520673431952</v>
      </c>
      <c r="D533" s="178">
        <f t="shared" si="19"/>
        <v>1.7393853129832351</v>
      </c>
      <c r="E533" s="178">
        <f t="shared" si="20"/>
        <v>0.79010308546733243</v>
      </c>
      <c r="F533" s="178">
        <f t="shared" si="21"/>
        <v>-2.2275540069138136</v>
      </c>
      <c r="H533" s="178">
        <f t="shared" si="22"/>
        <v>0.63506697185577687</v>
      </c>
      <c r="I533" s="178">
        <f t="shared" si="23"/>
        <v>1.695290427391611</v>
      </c>
      <c r="J533" s="178">
        <f t="shared" si="24"/>
        <v>1.3798592950357476</v>
      </c>
      <c r="K533" s="178">
        <f t="shared" si="25"/>
        <v>-0.61838677120651153</v>
      </c>
      <c r="M533" s="178">
        <f t="shared" si="26"/>
        <v>0.43021802742292381</v>
      </c>
      <c r="N533" s="178">
        <f t="shared" si="27"/>
        <v>1.1484528969442578</v>
      </c>
      <c r="O533" s="178">
        <f t="shared" si="28"/>
        <v>-0.45309217449005823</v>
      </c>
      <c r="P533" s="178">
        <f t="shared" si="29"/>
        <v>-1.4034620978046302</v>
      </c>
    </row>
    <row r="534" spans="1:16">
      <c r="A534" s="178">
        <f t="shared" si="30"/>
        <v>-64</v>
      </c>
      <c r="B534" s="178">
        <f t="shared" si="17"/>
        <v>-2.050303841579296</v>
      </c>
      <c r="C534" s="178">
        <f t="shared" si="18"/>
        <v>0.83943918987417432</v>
      </c>
      <c r="D534" s="178">
        <f t="shared" si="19"/>
        <v>1.9149052030973903</v>
      </c>
      <c r="E534" s="178">
        <f t="shared" si="20"/>
        <v>0.97795706860718723</v>
      </c>
      <c r="F534" s="178">
        <f t="shared" si="21"/>
        <v>-2.3359294236163914</v>
      </c>
      <c r="H534" s="178">
        <f t="shared" si="22"/>
        <v>0.84361411615860527</v>
      </c>
      <c r="I534" s="178">
        <f t="shared" si="23"/>
        <v>1.9244289281760387</v>
      </c>
      <c r="J534" s="178">
        <f t="shared" si="24"/>
        <v>1.5884064393385757</v>
      </c>
      <c r="K534" s="178">
        <f t="shared" si="25"/>
        <v>-0.77620612129789224</v>
      </c>
      <c r="M534" s="178">
        <f t="shared" si="26"/>
        <v>0.53022306273997222</v>
      </c>
      <c r="N534" s="178">
        <f t="shared" si="27"/>
        <v>1.2095300218175384</v>
      </c>
      <c r="O534" s="178">
        <f t="shared" si="28"/>
        <v>-0.35308713917300982</v>
      </c>
      <c r="P534" s="178">
        <f t="shared" si="29"/>
        <v>-1.425753496457165</v>
      </c>
    </row>
    <row r="535" spans="1:16">
      <c r="A535" s="178">
        <f t="shared" si="30"/>
        <v>-60</v>
      </c>
      <c r="B535" s="178">
        <f t="shared" si="17"/>
        <v>-1.7320508075688767</v>
      </c>
      <c r="C535" s="178">
        <f t="shared" si="18"/>
        <v>1.0238327581031981</v>
      </c>
      <c r="D535" s="178">
        <f t="shared" si="19"/>
        <v>2.0476655162063957</v>
      </c>
      <c r="E535" s="178">
        <f t="shared" si="20"/>
        <v>1.1623506368362111</v>
      </c>
      <c r="F535" s="178">
        <f t="shared" si="21"/>
        <v>-2.3881543833332746</v>
      </c>
      <c r="H535" s="178">
        <f t="shared" si="22"/>
        <v>1.1013296072315482</v>
      </c>
      <c r="I535" s="178">
        <f t="shared" si="23"/>
        <v>2.2026592144630959</v>
      </c>
      <c r="J535" s="178">
        <f t="shared" si="24"/>
        <v>1.8461219304115186</v>
      </c>
      <c r="K535" s="178">
        <f t="shared" si="25"/>
        <v>-0.95409969373229819</v>
      </c>
      <c r="M535" s="178">
        <f t="shared" si="26"/>
        <v>0.63977699006861988</v>
      </c>
      <c r="N535" s="178">
        <f t="shared" si="27"/>
        <v>1.2795539801372395</v>
      </c>
      <c r="O535" s="178">
        <f t="shared" si="28"/>
        <v>-0.24353321184436216</v>
      </c>
      <c r="P535" s="178">
        <f t="shared" si="29"/>
        <v>-1.446761366339798</v>
      </c>
    </row>
    <row r="536" spans="1:16">
      <c r="A536" s="178">
        <f t="shared" si="30"/>
        <v>-56</v>
      </c>
      <c r="B536" s="178">
        <f t="shared" si="17"/>
        <v>-1.4825609685127403</v>
      </c>
      <c r="C536" s="178">
        <f t="shared" si="18"/>
        <v>1.1697027988517568</v>
      </c>
      <c r="D536" s="178">
        <f t="shared" si="19"/>
        <v>2.0917697481347735</v>
      </c>
      <c r="E536" s="178">
        <f t="shared" si="20"/>
        <v>1.3082206775847698</v>
      </c>
      <c r="F536" s="178">
        <f t="shared" si="21"/>
        <v>-2.3489797421828831</v>
      </c>
      <c r="H536" s="178">
        <f t="shared" si="22"/>
        <v>1.4091757878772035</v>
      </c>
      <c r="I536" s="178">
        <f t="shared" si="23"/>
        <v>2.5200172948026731</v>
      </c>
      <c r="J536" s="178">
        <f t="shared" si="24"/>
        <v>2.153968111057174</v>
      </c>
      <c r="K536" s="178">
        <f t="shared" si="25"/>
        <v>-1.1357298790073127</v>
      </c>
      <c r="M536" s="178">
        <f t="shared" si="26"/>
        <v>0.76005294127877598</v>
      </c>
      <c r="N536" s="178">
        <f t="shared" si="27"/>
        <v>1.3591963284250386</v>
      </c>
      <c r="O536" s="178">
        <f t="shared" si="28"/>
        <v>-0.12325726063420595</v>
      </c>
      <c r="P536" s="178">
        <f t="shared" si="29"/>
        <v>-1.465459938770679</v>
      </c>
    </row>
    <row r="537" spans="1:16">
      <c r="A537" s="178">
        <f t="shared" si="30"/>
        <v>-52</v>
      </c>
      <c r="B537" s="178">
        <f t="shared" si="17"/>
        <v>-1.2799416321930788</v>
      </c>
      <c r="C537" s="178">
        <f t="shared" ref="C537:C568" si="31">$B$501/(SQRT(1/(1-$C$171^2)*(1/$E$171+B537^2/$F$172-2*$C$171*B537/SQRT($E$171*$F$172))))</f>
        <v>1.2487963981066366</v>
      </c>
      <c r="D537" s="178">
        <f t="shared" si="19"/>
        <v>2.0283815833142351</v>
      </c>
      <c r="E537" s="178">
        <f t="shared" si="20"/>
        <v>1.3873142768396496</v>
      </c>
      <c r="F537" s="178">
        <f t="shared" si="21"/>
        <v>-2.2132105279146059</v>
      </c>
      <c r="H537" s="178">
        <f t="shared" ref="H537:H568" si="32">$B$501/(SQRT(1/(1-$C$174^2)*(1/$E$174+B537^2/$F$175-2*$C$174*B537/SQRT($E$174*$F$175))))</f>
        <v>1.7411257546495134</v>
      </c>
      <c r="I537" s="178">
        <f t="shared" si="23"/>
        <v>2.8280570157951384</v>
      </c>
      <c r="J537" s="178">
        <f t="shared" si="24"/>
        <v>2.485918077829484</v>
      </c>
      <c r="K537" s="178">
        <f t="shared" si="25"/>
        <v>-1.2750801983868856</v>
      </c>
      <c r="M537" s="178">
        <f t="shared" ref="M537:M568" si="33">$B$501/(SQRT(1/(1-$C$177^2)*(1/$E$177+B537^2/$F$178-2*$C$177*B537/SQRT($E$177*$F$178))))</f>
        <v>0.89192937033779052</v>
      </c>
      <c r="N537" s="178">
        <f t="shared" si="27"/>
        <v>1.4487334453824621</v>
      </c>
      <c r="O537" s="178">
        <f t="shared" si="28"/>
        <v>8.6191684248085876E-3</v>
      </c>
      <c r="P537" s="178">
        <f t="shared" si="29"/>
        <v>-1.4802526480985565</v>
      </c>
    </row>
    <row r="538" spans="1:16">
      <c r="A538" s="178">
        <f t="shared" si="30"/>
        <v>-48</v>
      </c>
      <c r="B538" s="178">
        <f t="shared" si="17"/>
        <v>-1.1106125148291928</v>
      </c>
      <c r="C538" s="178">
        <f t="shared" si="31"/>
        <v>1.2606343226574213</v>
      </c>
      <c r="D538" s="178">
        <f t="shared" si="19"/>
        <v>1.8839884331659709</v>
      </c>
      <c r="E538" s="178">
        <f t="shared" si="20"/>
        <v>1.3991522013904343</v>
      </c>
      <c r="F538" s="178">
        <f t="shared" si="21"/>
        <v>-2.0149002832117144</v>
      </c>
      <c r="H538" s="178">
        <f t="shared" si="32"/>
        <v>2.0226804098670605</v>
      </c>
      <c r="I538" s="178">
        <f t="shared" si="23"/>
        <v>3.022848440416857</v>
      </c>
      <c r="J538" s="178">
        <f t="shared" si="24"/>
        <v>2.7674727330470312</v>
      </c>
      <c r="K538" s="178">
        <f t="shared" si="25"/>
        <v>-1.2929550348255794</v>
      </c>
      <c r="M538" s="178">
        <f t="shared" si="33"/>
        <v>1.0355565821812811</v>
      </c>
      <c r="N538" s="178">
        <f t="shared" si="27"/>
        <v>1.5476150281278671</v>
      </c>
      <c r="O538" s="178">
        <f t="shared" si="28"/>
        <v>0.15224638026829906</v>
      </c>
      <c r="P538" s="178">
        <f t="shared" si="29"/>
        <v>-1.4887372140117359</v>
      </c>
    </row>
    <row r="539" spans="1:16">
      <c r="A539" s="178">
        <f t="shared" si="30"/>
        <v>-44</v>
      </c>
      <c r="B539" s="178">
        <f t="shared" si="17"/>
        <v>-0.96568877480707394</v>
      </c>
      <c r="C539" s="178">
        <f t="shared" si="31"/>
        <v>1.2267420777069358</v>
      </c>
      <c r="D539" s="178">
        <f t="shared" si="19"/>
        <v>1.7053721719963355</v>
      </c>
      <c r="E539" s="178">
        <f t="shared" si="20"/>
        <v>1.365259956439949</v>
      </c>
      <c r="F539" s="178">
        <f t="shared" si="21"/>
        <v>-1.7994750818702547</v>
      </c>
      <c r="H539" s="178">
        <f t="shared" si="32"/>
        <v>2.1592262770998678</v>
      </c>
      <c r="I539" s="178">
        <f t="shared" si="23"/>
        <v>3.0016777551907263</v>
      </c>
      <c r="J539" s="178">
        <f t="shared" si="24"/>
        <v>2.9040186002798385</v>
      </c>
      <c r="K539" s="178">
        <f t="shared" si="25"/>
        <v>-1.1316814361911924</v>
      </c>
      <c r="M539" s="178">
        <f t="shared" si="33"/>
        <v>1.1896394731689606</v>
      </c>
      <c r="N539" s="178">
        <f t="shared" si="27"/>
        <v>1.653793482035752</v>
      </c>
      <c r="O539" s="178">
        <f t="shared" si="28"/>
        <v>0.30632927125597853</v>
      </c>
      <c r="P539" s="178">
        <f t="shared" si="29"/>
        <v>-1.4874565993341262</v>
      </c>
    </row>
    <row r="540" spans="1:16">
      <c r="A540" s="178">
        <f t="shared" si="30"/>
        <v>-40</v>
      </c>
      <c r="B540" s="178">
        <f t="shared" si="17"/>
        <v>-0.83909963117727993</v>
      </c>
      <c r="C540" s="178">
        <f t="shared" si="31"/>
        <v>1.1707058850223737</v>
      </c>
      <c r="D540" s="178">
        <f t="shared" si="19"/>
        <v>1.5282479959724031</v>
      </c>
      <c r="E540" s="178">
        <f t="shared" si="20"/>
        <v>1.3092237637553867</v>
      </c>
      <c r="F540" s="178">
        <f t="shared" si="21"/>
        <v>-1.5971629041845046</v>
      </c>
      <c r="H540" s="178">
        <f t="shared" si="32"/>
        <v>2.1274904310105414</v>
      </c>
      <c r="I540" s="178">
        <f t="shared" si="23"/>
        <v>2.777241516625832</v>
      </c>
      <c r="J540" s="178">
        <f t="shared" si="24"/>
        <v>2.872282754190512</v>
      </c>
      <c r="K540" s="178">
        <f t="shared" si="25"/>
        <v>-0.83171729412151885</v>
      </c>
      <c r="M540" s="178">
        <f t="shared" si="33"/>
        <v>1.3504073325509367</v>
      </c>
      <c r="N540" s="178">
        <f t="shared" si="27"/>
        <v>1.7628315754797512</v>
      </c>
      <c r="O540" s="178">
        <f t="shared" si="28"/>
        <v>0.46709713063795466</v>
      </c>
      <c r="P540" s="178">
        <f t="shared" si="29"/>
        <v>-1.471761408710045</v>
      </c>
    </row>
    <row r="541" spans="1:16">
      <c r="A541" s="178">
        <f t="shared" si="30"/>
        <v>-36</v>
      </c>
      <c r="B541" s="178">
        <f t="shared" si="17"/>
        <v>-0.7265425280053609</v>
      </c>
      <c r="C541" s="178">
        <f t="shared" si="31"/>
        <v>1.1080745612133189</v>
      </c>
      <c r="D541" s="178">
        <f t="shared" si="19"/>
        <v>1.3696554817979141</v>
      </c>
      <c r="E541" s="178">
        <f t="shared" si="20"/>
        <v>1.246592439946332</v>
      </c>
      <c r="F541" s="178">
        <f t="shared" si="21"/>
        <v>-1.4198873207675153</v>
      </c>
      <c r="H541" s="178">
        <f t="shared" si="32"/>
        <v>1.9912767999694876</v>
      </c>
      <c r="I541" s="178">
        <f t="shared" si="23"/>
        <v>2.461353486780538</v>
      </c>
      <c r="J541" s="178">
        <f t="shared" si="24"/>
        <v>2.7360691231494583</v>
      </c>
      <c r="K541" s="178">
        <f t="shared" si="25"/>
        <v>-0.49328813833563834</v>
      </c>
      <c r="M541" s="178">
        <f t="shared" si="33"/>
        <v>1.5104696158126616</v>
      </c>
      <c r="N541" s="178">
        <f t="shared" si="27"/>
        <v>1.8670431230924411</v>
      </c>
      <c r="O541" s="178">
        <f t="shared" si="28"/>
        <v>0.62715941389967977</v>
      </c>
      <c r="P541" s="178">
        <f t="shared" si="29"/>
        <v>-1.4360555271752773</v>
      </c>
    </row>
    <row r="542" spans="1:16">
      <c r="A542" s="178">
        <f t="shared" si="30"/>
        <v>-32</v>
      </c>
      <c r="B542" s="178">
        <f t="shared" si="17"/>
        <v>-0.62486935190932746</v>
      </c>
      <c r="C542" s="178">
        <f t="shared" si="31"/>
        <v>1.0466630778490424</v>
      </c>
      <c r="D542" s="178">
        <f t="shared" si="19"/>
        <v>1.2342024969960916</v>
      </c>
      <c r="E542" s="178">
        <f t="shared" si="20"/>
        <v>1.1851809565820555</v>
      </c>
      <c r="F542" s="178">
        <f t="shared" si="21"/>
        <v>-1.2688517069681127</v>
      </c>
      <c r="H542" s="178">
        <f t="shared" si="32"/>
        <v>1.8224361712521497</v>
      </c>
      <c r="I542" s="178">
        <f t="shared" si="23"/>
        <v>2.1489773746464422</v>
      </c>
      <c r="J542" s="178">
        <f t="shared" si="24"/>
        <v>2.5672284944321202</v>
      </c>
      <c r="K542" s="178">
        <f t="shared" si="25"/>
        <v>-0.18532536735382832</v>
      </c>
      <c r="M542" s="178">
        <f t="shared" si="33"/>
        <v>1.6582386142310153</v>
      </c>
      <c r="N542" s="178">
        <f t="shared" si="27"/>
        <v>1.955359161522304</v>
      </c>
      <c r="O542" s="178">
        <f t="shared" si="28"/>
        <v>0.77492841231803322</v>
      </c>
      <c r="P542" s="178">
        <f t="shared" si="29"/>
        <v>-1.3748176022130156</v>
      </c>
    </row>
    <row r="543" spans="1:16">
      <c r="A543" s="178">
        <f t="shared" si="30"/>
        <v>-28</v>
      </c>
      <c r="B543" s="178">
        <f t="shared" si="17"/>
        <v>-0.53170943166147877</v>
      </c>
      <c r="C543" s="178">
        <f t="shared" si="31"/>
        <v>0.98961469430328286</v>
      </c>
      <c r="D543" s="178">
        <f t="shared" si="19"/>
        <v>1.1208079644896871</v>
      </c>
      <c r="E543" s="178">
        <f t="shared" si="20"/>
        <v>1.1281325730362959</v>
      </c>
      <c r="F543" s="178">
        <f t="shared" si="21"/>
        <v>-1.1410114945170062</v>
      </c>
      <c r="H543" s="178">
        <f t="shared" si="32"/>
        <v>1.6595298740218165</v>
      </c>
      <c r="I543" s="178">
        <f t="shared" si="23"/>
        <v>1.8795338335408636</v>
      </c>
      <c r="J543" s="178">
        <f t="shared" si="24"/>
        <v>2.4043221972017874</v>
      </c>
      <c r="K543" s="178">
        <f t="shared" si="25"/>
        <v>7.1071455731233191E-2</v>
      </c>
      <c r="M543" s="178">
        <f t="shared" si="33"/>
        <v>1.7791061414728209</v>
      </c>
      <c r="N543" s="178">
        <f t="shared" si="27"/>
        <v>2.0149623328290538</v>
      </c>
      <c r="O543" s="178">
        <f t="shared" si="28"/>
        <v>0.89579593955983905</v>
      </c>
      <c r="P543" s="178">
        <f t="shared" si="29"/>
        <v>-1.2846026293754198</v>
      </c>
    </row>
    <row r="544" spans="1:16">
      <c r="A544" s="178">
        <f t="shared" si="30"/>
        <v>-24</v>
      </c>
      <c r="B544" s="178">
        <f t="shared" si="17"/>
        <v>-0.4452286853085361</v>
      </c>
      <c r="C544" s="178">
        <f t="shared" si="31"/>
        <v>0.93776447251282535</v>
      </c>
      <c r="D544" s="178">
        <f t="shared" si="19"/>
        <v>1.026511012306625</v>
      </c>
      <c r="E544" s="178">
        <f t="shared" si="20"/>
        <v>1.0762823512458382</v>
      </c>
      <c r="F544" s="178">
        <f t="shared" si="21"/>
        <v>-1.0323436710710978</v>
      </c>
      <c r="H544" s="178">
        <f t="shared" si="32"/>
        <v>1.5154926026906355</v>
      </c>
      <c r="I544" s="178">
        <f t="shared" si="23"/>
        <v>1.6589131827127199</v>
      </c>
      <c r="J544" s="178">
        <f t="shared" si="24"/>
        <v>2.2602849258706059</v>
      </c>
      <c r="K544" s="178">
        <f t="shared" si="25"/>
        <v>0.27871836278185547</v>
      </c>
      <c r="M544" s="178">
        <f t="shared" si="33"/>
        <v>1.8592059844554427</v>
      </c>
      <c r="N544" s="178">
        <f t="shared" si="27"/>
        <v>2.0351543198004767</v>
      </c>
      <c r="O544" s="178">
        <f t="shared" si="28"/>
        <v>0.97589578254246045</v>
      </c>
      <c r="P544" s="178">
        <f t="shared" si="29"/>
        <v>-1.1664069502043191</v>
      </c>
    </row>
    <row r="545" spans="1:16">
      <c r="A545" s="178">
        <f t="shared" si="30"/>
        <v>-20</v>
      </c>
      <c r="B545" s="178">
        <f t="shared" si="17"/>
        <v>-0.36397023426620234</v>
      </c>
      <c r="C545" s="178">
        <f t="shared" si="31"/>
        <v>0.89094632540654028</v>
      </c>
      <c r="D545" s="178">
        <f t="shared" si="19"/>
        <v>0.94812527596673113</v>
      </c>
      <c r="E545" s="178">
        <f t="shared" si="20"/>
        <v>1.0294642041395532</v>
      </c>
      <c r="F545" s="178">
        <f t="shared" si="21"/>
        <v>-0.9391019706219903</v>
      </c>
      <c r="H545" s="178">
        <f t="shared" si="32"/>
        <v>1.3917573111334751</v>
      </c>
      <c r="I545" s="178">
        <f t="shared" si="23"/>
        <v>1.4810771951890864</v>
      </c>
      <c r="J545" s="178">
        <f t="shared" si="24"/>
        <v>2.1365496343134458</v>
      </c>
      <c r="K545" s="178">
        <f t="shared" si="25"/>
        <v>0.44690090729766796</v>
      </c>
      <c r="M545" s="178">
        <f t="shared" si="33"/>
        <v>1.8905708364203517</v>
      </c>
      <c r="N545" s="178">
        <f t="shared" si="27"/>
        <v>2.011903461409732</v>
      </c>
      <c r="O545" s="178">
        <f t="shared" si="28"/>
        <v>1.0072606345073698</v>
      </c>
      <c r="P545" s="178">
        <f t="shared" si="29"/>
        <v>-1.0267466242562251</v>
      </c>
    </row>
    <row r="546" spans="1:16">
      <c r="A546" s="178">
        <f t="shared" si="30"/>
        <v>-16</v>
      </c>
      <c r="B546" s="178">
        <f t="shared" si="17"/>
        <v>-0.28674538575880792</v>
      </c>
      <c r="C546" s="178">
        <f t="shared" si="31"/>
        <v>0.84862307604549114</v>
      </c>
      <c r="D546" s="178">
        <f t="shared" si="19"/>
        <v>0.8828221072692618</v>
      </c>
      <c r="E546" s="178">
        <f t="shared" si="20"/>
        <v>0.98714095477850394</v>
      </c>
      <c r="F546" s="178">
        <f t="shared" si="21"/>
        <v>-0.85816277914965022</v>
      </c>
      <c r="H546" s="178">
        <f t="shared" si="32"/>
        <v>1.28594649785795</v>
      </c>
      <c r="I546" s="178">
        <f t="shared" si="23"/>
        <v>1.3377694162698281</v>
      </c>
      <c r="J546" s="178">
        <f t="shared" si="24"/>
        <v>2.0307388210379207</v>
      </c>
      <c r="K546" s="178">
        <f t="shared" si="25"/>
        <v>0.58471991727915285</v>
      </c>
      <c r="M546" s="178">
        <f t="shared" si="33"/>
        <v>1.8743004469597979</v>
      </c>
      <c r="N546" s="178">
        <f t="shared" si="27"/>
        <v>1.9498336976074262</v>
      </c>
      <c r="O546" s="178">
        <f t="shared" si="28"/>
        <v>0.99099024504681565</v>
      </c>
      <c r="P546" s="178">
        <f t="shared" si="29"/>
        <v>-0.876082118718853</v>
      </c>
    </row>
    <row r="547" spans="1:16">
      <c r="A547" s="178">
        <f t="shared" si="30"/>
        <v>-12</v>
      </c>
      <c r="B547" s="178">
        <f t="shared" si="17"/>
        <v>-0.2125565616700221</v>
      </c>
      <c r="C547" s="178">
        <f t="shared" si="31"/>
        <v>0.81016653702214647</v>
      </c>
      <c r="D547" s="178">
        <f t="shared" si="19"/>
        <v>0.82826613939896199</v>
      </c>
      <c r="E547" s="178">
        <f t="shared" si="20"/>
        <v>0.94868441575515938</v>
      </c>
      <c r="F547" s="178">
        <f t="shared" si="21"/>
        <v>-0.78703024133469579</v>
      </c>
      <c r="H547" s="178">
        <f t="shared" si="32"/>
        <v>1.1949299104027304</v>
      </c>
      <c r="I547" s="178">
        <f t="shared" si="23"/>
        <v>1.2216253554231435</v>
      </c>
      <c r="J547" s="178">
        <f t="shared" si="24"/>
        <v>1.9397222335827009</v>
      </c>
      <c r="K547" s="178">
        <f t="shared" si="25"/>
        <v>0.69946894868074683</v>
      </c>
      <c r="M547" s="178">
        <f t="shared" si="33"/>
        <v>1.8193111337203007</v>
      </c>
      <c r="N547" s="178">
        <f t="shared" si="27"/>
        <v>1.8599556266921831</v>
      </c>
      <c r="O547" s="178">
        <f t="shared" si="28"/>
        <v>0.93600093180731869</v>
      </c>
      <c r="P547" s="178">
        <f t="shared" si="29"/>
        <v>-0.72534163321903655</v>
      </c>
    </row>
    <row r="548" spans="1:16">
      <c r="A548" s="178">
        <f t="shared" si="30"/>
        <v>-8</v>
      </c>
      <c r="B548" s="178">
        <f t="shared" si="17"/>
        <v>-0.14054083470239145</v>
      </c>
      <c r="C548" s="178">
        <f t="shared" si="31"/>
        <v>0.77497198170249459</v>
      </c>
      <c r="D548" s="178">
        <f t="shared" si="19"/>
        <v>0.782588075052573</v>
      </c>
      <c r="E548" s="178">
        <f t="shared" si="20"/>
        <v>0.91348986043550751</v>
      </c>
      <c r="F548" s="178">
        <f t="shared" si="21"/>
        <v>-0.72373923702459464</v>
      </c>
      <c r="H548" s="178">
        <f t="shared" si="32"/>
        <v>1.1158292946969839</v>
      </c>
      <c r="I548" s="178">
        <f t="shared" si="23"/>
        <v>1.126795188009017</v>
      </c>
      <c r="J548" s="178">
        <f t="shared" si="24"/>
        <v>1.8606216178769546</v>
      </c>
      <c r="K548" s="178">
        <f t="shared" si="25"/>
        <v>0.79663956141052383</v>
      </c>
      <c r="M548" s="178">
        <f t="shared" si="33"/>
        <v>1.73798605837528</v>
      </c>
      <c r="N548" s="178">
        <f t="shared" si="27"/>
        <v>1.7550662424003103</v>
      </c>
      <c r="O548" s="178">
        <f t="shared" si="28"/>
        <v>0.85467585646229793</v>
      </c>
      <c r="P548" s="178">
        <f t="shared" si="29"/>
        <v>-0.58289312537264071</v>
      </c>
    </row>
    <row r="549" spans="1:16">
      <c r="A549" s="178">
        <f t="shared" si="30"/>
        <v>-4</v>
      </c>
      <c r="B549" s="178">
        <f t="shared" si="17"/>
        <v>-6.9926811943510414E-2</v>
      </c>
      <c r="C549" s="178">
        <f t="shared" si="31"/>
        <v>0.74249798301033243</v>
      </c>
      <c r="D549" s="178">
        <f t="shared" si="19"/>
        <v>0.74431108741031948</v>
      </c>
      <c r="E549" s="178">
        <f t="shared" si="20"/>
        <v>0.88101586174334523</v>
      </c>
      <c r="F549" s="178">
        <f t="shared" si="21"/>
        <v>-0.66674454467155897</v>
      </c>
      <c r="H549" s="178">
        <f t="shared" si="32"/>
        <v>1.0462578625243304</v>
      </c>
      <c r="I549" s="178">
        <f t="shared" si="23"/>
        <v>1.0488127175912396</v>
      </c>
      <c r="J549" s="178">
        <f t="shared" si="24"/>
        <v>1.7910501857043006</v>
      </c>
      <c r="K549" s="178">
        <f t="shared" si="25"/>
        <v>0.8802976650754607</v>
      </c>
      <c r="M549" s="178">
        <f t="shared" si="33"/>
        <v>1.6420100197459384</v>
      </c>
      <c r="N549" s="178">
        <f t="shared" si="27"/>
        <v>1.6460196408624213</v>
      </c>
      <c r="O549" s="178">
        <f t="shared" si="28"/>
        <v>0.75869981783295615</v>
      </c>
      <c r="P549" s="178">
        <f t="shared" si="29"/>
        <v>-0.45345563988759374</v>
      </c>
    </row>
    <row r="550" spans="1:16">
      <c r="A550" s="178">
        <f t="shared" si="30"/>
        <v>0</v>
      </c>
      <c r="B550" s="178">
        <f t="shared" si="17"/>
        <v>0</v>
      </c>
      <c r="C550" s="178">
        <f t="shared" si="31"/>
        <v>0.71227410840803607</v>
      </c>
      <c r="D550" s="178">
        <f t="shared" si="19"/>
        <v>0.71227410840803607</v>
      </c>
      <c r="E550" s="178">
        <f t="shared" si="20"/>
        <v>0.85079198714104898</v>
      </c>
      <c r="F550" s="178">
        <f t="shared" si="21"/>
        <v>-0.61482402784515966</v>
      </c>
      <c r="H550" s="178">
        <f t="shared" si="32"/>
        <v>0.9843070576628713</v>
      </c>
      <c r="I550" s="178">
        <f t="shared" si="23"/>
        <v>0.9843070576628713</v>
      </c>
      <c r="J550" s="178">
        <f t="shared" si="24"/>
        <v>1.7290993808428419</v>
      </c>
      <c r="K550" s="178">
        <f t="shared" si="25"/>
        <v>0.95345914187261871</v>
      </c>
      <c r="M550" s="178">
        <f t="shared" si="33"/>
        <v>1.5402504380225395</v>
      </c>
      <c r="N550" s="178">
        <f t="shared" si="27"/>
        <v>1.5402504380225395</v>
      </c>
      <c r="O550" s="178">
        <f t="shared" si="28"/>
        <v>0.65694023610955743</v>
      </c>
      <c r="P550" s="178">
        <f t="shared" si="29"/>
        <v>-0.33863511402745966</v>
      </c>
    </row>
    <row r="551" spans="1:16">
      <c r="A551" s="178">
        <f t="shared" si="30"/>
        <v>4</v>
      </c>
      <c r="B551" s="178">
        <f t="shared" si="17"/>
        <v>6.9926811943510414E-2</v>
      </c>
      <c r="C551" s="178">
        <f t="shared" si="31"/>
        <v>0.68389574885052207</v>
      </c>
      <c r="D551" s="178">
        <f t="shared" si="19"/>
        <v>0.68556575256736185</v>
      </c>
      <c r="E551" s="178">
        <f t="shared" si="20"/>
        <v>0.82241362758353487</v>
      </c>
      <c r="F551" s="178">
        <f t="shared" si="21"/>
        <v>-0.56700137842632303</v>
      </c>
      <c r="H551" s="178">
        <f t="shared" si="32"/>
        <v>0.92846624145156609</v>
      </c>
      <c r="I551" s="178">
        <f t="shared" si="23"/>
        <v>0.93073346138499968</v>
      </c>
      <c r="J551" s="178">
        <f t="shared" si="24"/>
        <v>1.6732585646315365</v>
      </c>
      <c r="K551" s="178">
        <f t="shared" si="25"/>
        <v>1.0183838261345004</v>
      </c>
      <c r="M551" s="178">
        <f t="shared" si="33"/>
        <v>1.4384802724405761</v>
      </c>
      <c r="N551" s="178">
        <f t="shared" si="27"/>
        <v>1.4419928946576526</v>
      </c>
      <c r="O551" s="178">
        <f t="shared" si="28"/>
        <v>0.55517007052759382</v>
      </c>
      <c r="P551" s="178">
        <f t="shared" si="29"/>
        <v>-0.23804677453205786</v>
      </c>
    </row>
    <row r="552" spans="1:16">
      <c r="A552" s="178">
        <f t="shared" si="30"/>
        <v>8</v>
      </c>
      <c r="B552" s="178">
        <f t="shared" si="17"/>
        <v>0.14054083470239145</v>
      </c>
      <c r="C552" s="178">
        <f t="shared" si="31"/>
        <v>0.65701459968740594</v>
      </c>
      <c r="D552" s="178">
        <f t="shared" si="19"/>
        <v>0.6634714583116248</v>
      </c>
      <c r="E552" s="178">
        <f t="shared" si="20"/>
        <v>0.79553247842041885</v>
      </c>
      <c r="F552" s="178">
        <f t="shared" si="21"/>
        <v>-0.52248664759343399</v>
      </c>
      <c r="H552" s="178">
        <f t="shared" si="32"/>
        <v>0.87753730714098988</v>
      </c>
      <c r="I552" s="178">
        <f t="shared" si="23"/>
        <v>0.88616136866471085</v>
      </c>
      <c r="J552" s="178">
        <f t="shared" si="24"/>
        <v>1.6223296303209604</v>
      </c>
      <c r="K552" s="178">
        <f t="shared" si="25"/>
        <v>1.0767889675007023</v>
      </c>
      <c r="M552" s="178">
        <f t="shared" si="33"/>
        <v>1.3399907542580958</v>
      </c>
      <c r="N552" s="178">
        <f t="shared" si="27"/>
        <v>1.3531596105698449</v>
      </c>
      <c r="O552" s="178">
        <f t="shared" si="28"/>
        <v>0.45668055234511373</v>
      </c>
      <c r="P552" s="178">
        <f t="shared" si="29"/>
        <v>-0.15031169493053981</v>
      </c>
    </row>
    <row r="553" spans="1:16">
      <c r="A553" s="178">
        <f t="shared" si="30"/>
        <v>12</v>
      </c>
      <c r="B553" s="178">
        <f t="shared" si="17"/>
        <v>0.2125565616700221</v>
      </c>
      <c r="C553" s="178">
        <f t="shared" si="31"/>
        <v>0.63132839584146605</v>
      </c>
      <c r="D553" s="178">
        <f t="shared" si="19"/>
        <v>0.64543264775974907</v>
      </c>
      <c r="E553" s="178">
        <f t="shared" si="20"/>
        <v>0.76984627457447896</v>
      </c>
      <c r="F553" s="178">
        <f t="shared" si="21"/>
        <v>-0.48063103474044699</v>
      </c>
      <c r="H553" s="178">
        <f t="shared" si="32"/>
        <v>0.8305618750239836</v>
      </c>
      <c r="I553" s="178">
        <f t="shared" si="23"/>
        <v>0.84911712138423345</v>
      </c>
      <c r="J553" s="178">
        <f t="shared" si="24"/>
        <v>1.5753541982039541</v>
      </c>
      <c r="K553" s="178">
        <f t="shared" si="25"/>
        <v>1.1300005182819233</v>
      </c>
      <c r="M553" s="178">
        <f t="shared" si="33"/>
        <v>1.2463775816041882</v>
      </c>
      <c r="N553" s="178">
        <f t="shared" si="27"/>
        <v>1.2742223982036622</v>
      </c>
      <c r="O553" s="178">
        <f t="shared" si="28"/>
        <v>0.36306737969120617</v>
      </c>
      <c r="P553" s="178">
        <f t="shared" si="29"/>
        <v>-7.3709380739076069E-2</v>
      </c>
    </row>
    <row r="554" spans="1:16">
      <c r="A554" s="178">
        <f t="shared" si="30"/>
        <v>16</v>
      </c>
      <c r="B554" s="178">
        <f t="shared" si="17"/>
        <v>0.28674538575880792</v>
      </c>
      <c r="C554" s="178">
        <f t="shared" si="31"/>
        <v>0.6065712835066539</v>
      </c>
      <c r="D554" s="178">
        <f t="shared" si="19"/>
        <v>0.63101576404181992</v>
      </c>
      <c r="E554" s="178">
        <f t="shared" si="20"/>
        <v>0.74508916223966681</v>
      </c>
      <c r="F554" s="178">
        <f t="shared" si="21"/>
        <v>-0.44089251116582895</v>
      </c>
      <c r="H554" s="178">
        <f t="shared" si="32"/>
        <v>0.78676366378982554</v>
      </c>
      <c r="I554" s="178">
        <f t="shared" si="23"/>
        <v>0.81846979559696265</v>
      </c>
      <c r="J554" s="178">
        <f t="shared" si="24"/>
        <v>1.5315559869697961</v>
      </c>
      <c r="K554" s="178">
        <f t="shared" si="25"/>
        <v>1.1790599921470453</v>
      </c>
      <c r="M554" s="178">
        <f t="shared" si="33"/>
        <v>1.1581903220723189</v>
      </c>
      <c r="N554" s="178">
        <f t="shared" si="27"/>
        <v>1.2048647386722005</v>
      </c>
      <c r="O554" s="178">
        <f t="shared" si="28"/>
        <v>0.27488012015933683</v>
      </c>
      <c r="P554" s="178">
        <f t="shared" si="29"/>
        <v>-6.5293833427146342E-3</v>
      </c>
    </row>
    <row r="555" spans="1:16">
      <c r="A555" s="178">
        <f t="shared" si="30"/>
        <v>20</v>
      </c>
      <c r="B555" s="178">
        <f t="shared" si="17"/>
        <v>0.36397023426620234</v>
      </c>
      <c r="C555" s="178">
        <f t="shared" si="31"/>
        <v>0.58250522554562312</v>
      </c>
      <c r="D555" s="178">
        <f t="shared" si="19"/>
        <v>0.61988911337671992</v>
      </c>
      <c r="E555" s="178">
        <f t="shared" si="20"/>
        <v>0.72102310427863603</v>
      </c>
      <c r="F555" s="178">
        <f t="shared" si="21"/>
        <v>-0.40280946444203219</v>
      </c>
      <c r="H555" s="178">
        <f t="shared" si="32"/>
        <v>0.74550410144140478</v>
      </c>
      <c r="I555" s="178">
        <f t="shared" si="23"/>
        <v>0.79334889404357056</v>
      </c>
      <c r="J555" s="178">
        <f t="shared" si="24"/>
        <v>1.4902964246213752</v>
      </c>
      <c r="K555" s="178">
        <f t="shared" si="25"/>
        <v>1.2248004443206615</v>
      </c>
      <c r="M555" s="178">
        <f t="shared" si="33"/>
        <v>1.0753824848847069</v>
      </c>
      <c r="N555" s="178">
        <f t="shared" si="27"/>
        <v>1.1443981373242185</v>
      </c>
      <c r="O555" s="178">
        <f t="shared" si="28"/>
        <v>0.19207228297172485</v>
      </c>
      <c r="P555" s="178">
        <f t="shared" si="29"/>
        <v>5.2772100921797849E-2</v>
      </c>
    </row>
    <row r="556" spans="1:16">
      <c r="A556" s="178">
        <f t="shared" si="30"/>
        <v>24</v>
      </c>
      <c r="B556" s="178">
        <f t="shared" si="17"/>
        <v>0.4452286853085361</v>
      </c>
      <c r="C556" s="178">
        <f t="shared" si="31"/>
        <v>0.55891241467719721</v>
      </c>
      <c r="D556" s="178">
        <f t="shared" si="19"/>
        <v>0.61180580561307552</v>
      </c>
      <c r="E556" s="178">
        <f t="shared" si="20"/>
        <v>0.69743029341021012</v>
      </c>
      <c r="F556" s="178">
        <f t="shared" si="21"/>
        <v>-0.3659801882558118</v>
      </c>
      <c r="H556" s="178">
        <f t="shared" si="32"/>
        <v>0.70624833715759971</v>
      </c>
      <c r="I556" s="178">
        <f t="shared" si="23"/>
        <v>0.77308505148727857</v>
      </c>
      <c r="J556" s="178">
        <f t="shared" si="24"/>
        <v>1.4510406603375703</v>
      </c>
      <c r="K556" s="178">
        <f t="shared" si="25"/>
        <v>1.2679011605266366</v>
      </c>
      <c r="M556" s="178">
        <f t="shared" si="33"/>
        <v>0.99759495811523169</v>
      </c>
      <c r="N556" s="178">
        <f t="shared" si="27"/>
        <v>1.0920036324076527</v>
      </c>
      <c r="O556" s="178">
        <f t="shared" si="28"/>
        <v>0.11428475620224954</v>
      </c>
      <c r="P556" s="178">
        <f t="shared" si="29"/>
        <v>0.10552277764460904</v>
      </c>
    </row>
    <row r="557" spans="1:16">
      <c r="A557" s="178">
        <f t="shared" si="30"/>
        <v>28</v>
      </c>
      <c r="B557" s="178">
        <f t="shared" si="17"/>
        <v>0.53170943166147877</v>
      </c>
      <c r="C557" s="178">
        <f t="shared" si="31"/>
        <v>0.53558849669998421</v>
      </c>
      <c r="D557" s="178">
        <f t="shared" si="19"/>
        <v>0.60659149085596742</v>
      </c>
      <c r="E557" s="178">
        <f t="shared" si="20"/>
        <v>0.67410637543299712</v>
      </c>
      <c r="F557" s="178">
        <f t="shared" si="21"/>
        <v>-0.33004657266038523</v>
      </c>
      <c r="H557" s="178">
        <f t="shared" si="32"/>
        <v>0.66853905056891283</v>
      </c>
      <c r="I557" s="178">
        <f t="shared" si="23"/>
        <v>0.75716730639043583</v>
      </c>
      <c r="J557" s="178">
        <f t="shared" si="24"/>
        <v>1.4133313737488835</v>
      </c>
      <c r="K557" s="178">
        <f t="shared" si="25"/>
        <v>1.30892766049412</v>
      </c>
      <c r="M557" s="178">
        <f t="shared" si="33"/>
        <v>0.92432358650924062</v>
      </c>
      <c r="N557" s="178">
        <f t="shared" si="27"/>
        <v>1.0468612112258453</v>
      </c>
      <c r="O557" s="178">
        <f t="shared" si="28"/>
        <v>4.1013384596258806E-2</v>
      </c>
      <c r="P557" s="178">
        <f t="shared" si="29"/>
        <v>0.15283645482666847</v>
      </c>
    </row>
    <row r="558" spans="1:16">
      <c r="A558" s="178">
        <f t="shared" si="30"/>
        <v>32</v>
      </c>
      <c r="B558" s="178">
        <f t="shared" si="17"/>
        <v>0.62486935190932746</v>
      </c>
      <c r="C558" s="178">
        <f t="shared" si="31"/>
        <v>0.51233634112175397</v>
      </c>
      <c r="D558" s="178">
        <f t="shared" si="19"/>
        <v>0.60413594870832821</v>
      </c>
      <c r="E558" s="178">
        <f t="shared" si="20"/>
        <v>0.65085421985476688</v>
      </c>
      <c r="F558" s="178">
        <f t="shared" si="21"/>
        <v>-0.29468075040881314</v>
      </c>
      <c r="H558" s="178">
        <f t="shared" si="32"/>
        <v>0.6319759514856006</v>
      </c>
      <c r="I558" s="178">
        <f t="shared" si="23"/>
        <v>0.74521239343603218</v>
      </c>
      <c r="J558" s="178">
        <f t="shared" si="24"/>
        <v>1.3767682746655712</v>
      </c>
      <c r="K558" s="178">
        <f t="shared" si="25"/>
        <v>1.3483615450997064</v>
      </c>
      <c r="M558" s="178">
        <f t="shared" si="33"/>
        <v>0.85501316498649893</v>
      </c>
      <c r="N558" s="178">
        <f t="shared" si="27"/>
        <v>1.0082130587423526</v>
      </c>
      <c r="O558" s="178">
        <f t="shared" si="28"/>
        <v>-2.829703692648311E-2</v>
      </c>
      <c r="P558" s="178">
        <f t="shared" si="29"/>
        <v>0.19563640825159684</v>
      </c>
    </row>
    <row r="559" spans="1:16">
      <c r="A559" s="178">
        <f t="shared" si="30"/>
        <v>36</v>
      </c>
      <c r="B559" s="178">
        <f t="shared" si="17"/>
        <v>0.7265425280053609</v>
      </c>
      <c r="C559" s="178">
        <f t="shared" si="31"/>
        <v>0.48896007089905164</v>
      </c>
      <c r="D559" s="178">
        <f t="shared" si="19"/>
        <v>0.60438788591434456</v>
      </c>
      <c r="E559" s="178">
        <f t="shared" si="20"/>
        <v>0.6274779496320646</v>
      </c>
      <c r="F559" s="178">
        <f t="shared" si="21"/>
        <v>-0.25957374184048215</v>
      </c>
      <c r="H559" s="178">
        <f t="shared" si="32"/>
        <v>0.5961993353995817</v>
      </c>
      <c r="I559" s="178">
        <f t="shared" si="23"/>
        <v>0.7369429066940798</v>
      </c>
      <c r="J559" s="178">
        <f t="shared" si="24"/>
        <v>1.3409916585795525</v>
      </c>
      <c r="K559" s="178">
        <f t="shared" si="25"/>
        <v>1.386623314208947</v>
      </c>
      <c r="M559" s="178">
        <f t="shared" si="33"/>
        <v>0.78910707440415007</v>
      </c>
      <c r="N559" s="178">
        <f t="shared" si="27"/>
        <v>0.97538998548951394</v>
      </c>
      <c r="O559" s="178">
        <f t="shared" si="28"/>
        <v>-9.4203127508831863E-2</v>
      </c>
      <c r="P559" s="178">
        <f t="shared" si="29"/>
        <v>0.23468473467704604</v>
      </c>
    </row>
    <row r="560" spans="1:16">
      <c r="A560" s="178">
        <f t="shared" si="30"/>
        <v>40</v>
      </c>
      <c r="B560" s="178">
        <f t="shared" si="17"/>
        <v>0.83909963117727993</v>
      </c>
      <c r="C560" s="178">
        <f t="shared" si="31"/>
        <v>0.46525904369706322</v>
      </c>
      <c r="D560" s="178">
        <f t="shared" si="19"/>
        <v>0.60735254706991149</v>
      </c>
      <c r="E560" s="178">
        <f t="shared" si="20"/>
        <v>0.60377692243007619</v>
      </c>
      <c r="F560" s="178">
        <f t="shared" si="21"/>
        <v>-0.22442533587705993</v>
      </c>
      <c r="H560" s="178">
        <f t="shared" si="32"/>
        <v>0.56087643213633298</v>
      </c>
      <c r="I560" s="178">
        <f t="shared" si="23"/>
        <v>0.73217218292545017</v>
      </c>
      <c r="J560" s="178">
        <f t="shared" si="24"/>
        <v>1.3056687553163036</v>
      </c>
      <c r="K560" s="178">
        <f t="shared" si="25"/>
        <v>1.4240903492142443</v>
      </c>
      <c r="M560" s="178">
        <f t="shared" si="33"/>
        <v>0.72607108484917982</v>
      </c>
      <c r="N560" s="178">
        <f t="shared" si="27"/>
        <v>0.94781848673551461</v>
      </c>
      <c r="O560" s="178">
        <f t="shared" si="28"/>
        <v>-0.15723911706380234</v>
      </c>
      <c r="P560" s="178">
        <f t="shared" si="29"/>
        <v>0.27061086547797458</v>
      </c>
    </row>
    <row r="561" spans="1:16">
      <c r="A561" s="178">
        <f t="shared" si="30"/>
        <v>44</v>
      </c>
      <c r="B561" s="178">
        <f t="shared" si="17"/>
        <v>0.96568877480707394</v>
      </c>
      <c r="C561" s="178">
        <f t="shared" si="31"/>
        <v>0.44102144663990528</v>
      </c>
      <c r="D561" s="178">
        <f t="shared" si="19"/>
        <v>0.61309195797630134</v>
      </c>
      <c r="E561" s="178">
        <f t="shared" si="20"/>
        <v>0.5795393253729183</v>
      </c>
      <c r="F561" s="178">
        <f t="shared" si="21"/>
        <v>-0.18893456737582615</v>
      </c>
      <c r="H561" s="178">
        <f t="shared" si="32"/>
        <v>0.52568955052350064</v>
      </c>
      <c r="I561" s="178">
        <f t="shared" si="23"/>
        <v>0.73079447331569347</v>
      </c>
      <c r="J561" s="178">
        <f t="shared" si="24"/>
        <v>1.2704818737034713</v>
      </c>
      <c r="K561" s="178">
        <f t="shared" si="25"/>
        <v>1.4611116398465396</v>
      </c>
      <c r="M561" s="178">
        <f t="shared" si="33"/>
        <v>0.6654025176672671</v>
      </c>
      <c r="N561" s="178">
        <f t="shared" si="27"/>
        <v>0.925018353431867</v>
      </c>
      <c r="O561" s="178">
        <f t="shared" si="28"/>
        <v>-0.21790768424571494</v>
      </c>
      <c r="P561" s="178">
        <f t="shared" si="29"/>
        <v>0.30393662801218585</v>
      </c>
    </row>
    <row r="562" spans="1:16">
      <c r="A562" s="178">
        <f t="shared" si="30"/>
        <v>48</v>
      </c>
      <c r="B562" s="178">
        <f t="shared" si="17"/>
        <v>1.1106125148291928</v>
      </c>
      <c r="C562" s="178">
        <f t="shared" si="31"/>
        <v>0.41601711317067669</v>
      </c>
      <c r="D562" s="178">
        <f t="shared" si="19"/>
        <v>0.62172781997594739</v>
      </c>
      <c r="E562" s="178">
        <f t="shared" si="20"/>
        <v>0.55453499190368971</v>
      </c>
      <c r="F562" s="178">
        <f t="shared" si="21"/>
        <v>-0.15279021557469352</v>
      </c>
      <c r="H562" s="178">
        <f t="shared" si="32"/>
        <v>0.49032519303388611</v>
      </c>
      <c r="I562" s="178">
        <f t="shared" si="23"/>
        <v>0.73277950279698034</v>
      </c>
      <c r="J562" s="178">
        <f t="shared" si="24"/>
        <v>1.2351175162138568</v>
      </c>
      <c r="K562" s="178">
        <f t="shared" si="25"/>
        <v>1.4980204375920922</v>
      </c>
      <c r="M562" s="178">
        <f t="shared" si="33"/>
        <v>0.60663132146811904</v>
      </c>
      <c r="N562" s="178">
        <f t="shared" si="27"/>
        <v>0.90659628434748285</v>
      </c>
      <c r="O562" s="178">
        <f t="shared" si="28"/>
        <v>-0.276678880444863</v>
      </c>
      <c r="P562" s="178">
        <f t="shared" si="29"/>
        <v>0.3350972234824045</v>
      </c>
    </row>
    <row r="563" spans="1:16">
      <c r="A563" s="178">
        <f t="shared" si="30"/>
        <v>52</v>
      </c>
      <c r="B563" s="178">
        <f t="shared" si="17"/>
        <v>1.2799416321930788</v>
      </c>
      <c r="C563" s="178">
        <f t="shared" si="31"/>
        <v>0.3899890832704741</v>
      </c>
      <c r="D563" s="178">
        <f t="shared" si="19"/>
        <v>0.63344727403024004</v>
      </c>
      <c r="E563" s="178">
        <f t="shared" si="20"/>
        <v>0.52850696200348712</v>
      </c>
      <c r="F563" s="178">
        <f t="shared" si="21"/>
        <v>-0.11566076406646647</v>
      </c>
      <c r="H563" s="178">
        <f t="shared" si="32"/>
        <v>0.45446340364138499</v>
      </c>
      <c r="I563" s="178">
        <f t="shared" si="23"/>
        <v>0.73817092973211218</v>
      </c>
      <c r="J563" s="178">
        <f t="shared" si="24"/>
        <v>1.1992557268213555</v>
      </c>
      <c r="K563" s="178">
        <f t="shared" si="25"/>
        <v>1.5351457725013951</v>
      </c>
      <c r="M563" s="178">
        <f t="shared" si="33"/>
        <v>0.54931680708198305</v>
      </c>
      <c r="N563" s="178">
        <f t="shared" si="27"/>
        <v>0.89223839577004271</v>
      </c>
      <c r="O563" s="178">
        <f t="shared" si="28"/>
        <v>-0.33399339483099899</v>
      </c>
      <c r="P563" s="178">
        <f t="shared" si="29"/>
        <v>0.36445833662014443</v>
      </c>
    </row>
    <row r="564" spans="1:16">
      <c r="A564" s="178">
        <f t="shared" si="30"/>
        <v>56</v>
      </c>
      <c r="B564" s="178">
        <f t="shared" si="17"/>
        <v>1.4825609685127403</v>
      </c>
      <c r="C564" s="178">
        <f t="shared" si="31"/>
        <v>0.36264329323131839</v>
      </c>
      <c r="D564" s="178">
        <f t="shared" si="19"/>
        <v>0.64851197320369691</v>
      </c>
      <c r="E564" s="178">
        <f t="shared" si="20"/>
        <v>0.50116117196433141</v>
      </c>
      <c r="F564" s="178">
        <f t="shared" si="21"/>
        <v>-7.7183235807486539E-2</v>
      </c>
      <c r="H564" s="178">
        <f t="shared" si="32"/>
        <v>0.41776662638896761</v>
      </c>
      <c r="I564" s="178">
        <f t="shared" si="23"/>
        <v>0.74708856960811265</v>
      </c>
      <c r="J564" s="178">
        <f t="shared" si="24"/>
        <v>1.1625589495689381</v>
      </c>
      <c r="K564" s="178">
        <f t="shared" si="25"/>
        <v>1.5728236361041468</v>
      </c>
      <c r="M564" s="178">
        <f t="shared" si="33"/>
        <v>0.49304212117115581</v>
      </c>
      <c r="N564" s="178">
        <f t="shared" si="27"/>
        <v>0.88170310837456556</v>
      </c>
      <c r="O564" s="178">
        <f t="shared" si="28"/>
        <v>-0.39026808074182623</v>
      </c>
      <c r="P564" s="178">
        <f t="shared" si="29"/>
        <v>0.39232989065362506</v>
      </c>
    </row>
    <row r="565" spans="1:16">
      <c r="A565" s="178">
        <f t="shared" si="30"/>
        <v>60</v>
      </c>
      <c r="B565" s="178">
        <f t="shared" si="17"/>
        <v>1.7320508075688767</v>
      </c>
      <c r="C565" s="178">
        <f t="shared" si="31"/>
        <v>0.3336355796739055</v>
      </c>
      <c r="D565" s="178">
        <f t="shared" si="19"/>
        <v>0.66727115934781089</v>
      </c>
      <c r="E565" s="178">
        <f t="shared" si="20"/>
        <v>0.47215345840691847</v>
      </c>
      <c r="F565" s="178">
        <f t="shared" si="21"/>
        <v>-3.6950252637261261E-2</v>
      </c>
      <c r="H565" s="178">
        <f t="shared" si="32"/>
        <v>0.37986728990735713</v>
      </c>
      <c r="I565" s="178">
        <f t="shared" si="23"/>
        <v>0.75973457981471404</v>
      </c>
      <c r="J565" s="178">
        <f t="shared" si="24"/>
        <v>1.1246596130873276</v>
      </c>
      <c r="K565" s="178">
        <f t="shared" si="25"/>
        <v>1.6114085881256572</v>
      </c>
      <c r="M565" s="178">
        <f t="shared" si="33"/>
        <v>0.43740756305319212</v>
      </c>
      <c r="N565" s="178">
        <f t="shared" si="27"/>
        <v>0.87481512610638401</v>
      </c>
      <c r="O565" s="178">
        <f t="shared" si="28"/>
        <v>-0.44590263885978992</v>
      </c>
      <c r="P565" s="178">
        <f t="shared" si="29"/>
        <v>0.41897700879555616</v>
      </c>
    </row>
    <row r="566" spans="1:16">
      <c r="A566" s="178">
        <f t="shared" si="30"/>
        <v>64</v>
      </c>
      <c r="B566" s="178">
        <f t="shared" si="17"/>
        <v>2.050303841579296</v>
      </c>
      <c r="C566" s="178">
        <f t="shared" si="31"/>
        <v>0.30255488843354311</v>
      </c>
      <c r="D566" s="178">
        <f t="shared" si="19"/>
        <v>0.69017974985273733</v>
      </c>
      <c r="E566" s="178">
        <f t="shared" si="20"/>
        <v>0.44107276716655597</v>
      </c>
      <c r="F566" s="178">
        <f t="shared" si="21"/>
        <v>5.5054221987290708E-3</v>
      </c>
      <c r="H566" s="178">
        <f t="shared" si="32"/>
        <v>0.34035318253590208</v>
      </c>
      <c r="I566" s="178">
        <f t="shared" si="23"/>
        <v>0.77640416124299172</v>
      </c>
      <c r="J566" s="178">
        <f t="shared" si="24"/>
        <v>1.0851455057158725</v>
      </c>
      <c r="K566" s="178">
        <f t="shared" si="25"/>
        <v>1.6512865795197182</v>
      </c>
      <c r="M566" s="178">
        <f t="shared" si="33"/>
        <v>0.38202328072969172</v>
      </c>
      <c r="N566" s="178">
        <f t="shared" si="27"/>
        <v>0.87146082384272983</v>
      </c>
      <c r="O566" s="178">
        <f t="shared" si="28"/>
        <v>-0.50128692118329032</v>
      </c>
      <c r="P566" s="178">
        <f t="shared" si="29"/>
        <v>0.44462868602535305</v>
      </c>
    </row>
    <row r="567" spans="1:16">
      <c r="A567" s="178">
        <f t="shared" si="30"/>
        <v>68</v>
      </c>
      <c r="B567" s="178">
        <f t="shared" si="17"/>
        <v>2.4750868534162964</v>
      </c>
      <c r="C567" s="178">
        <f t="shared" si="31"/>
        <v>0.26890115751024485</v>
      </c>
      <c r="D567" s="178">
        <f t="shared" si="19"/>
        <v>0.71782280994636349</v>
      </c>
      <c r="E567" s="178">
        <f t="shared" si="20"/>
        <v>0.40741903624325781</v>
      </c>
      <c r="F567" s="178">
        <f t="shared" si="21"/>
        <v>5.072969197687216E-2</v>
      </c>
      <c r="H567" s="178">
        <f t="shared" si="32"/>
        <v>0.29874941860157511</v>
      </c>
      <c r="I567" s="178">
        <f t="shared" si="23"/>
        <v>0.79750176278900831</v>
      </c>
      <c r="J567" s="178">
        <f t="shared" si="24"/>
        <v>1.0435417417815458</v>
      </c>
      <c r="K567" s="178">
        <f t="shared" si="25"/>
        <v>1.6928899003191393</v>
      </c>
      <c r="M567" s="178">
        <f t="shared" si="33"/>
        <v>0.3265015496502312</v>
      </c>
      <c r="N567" s="178">
        <f t="shared" si="27"/>
        <v>0.87158516531429142</v>
      </c>
      <c r="O567" s="178">
        <f t="shared" si="28"/>
        <v>-0.55680865226275089</v>
      </c>
      <c r="P567" s="178">
        <f t="shared" si="29"/>
        <v>0.46948457913187575</v>
      </c>
    </row>
    <row r="568" spans="1:16">
      <c r="A568" s="178">
        <f t="shared" si="30"/>
        <v>72</v>
      </c>
      <c r="B568" s="178">
        <f t="shared" si="17"/>
        <v>3.0776835371752527</v>
      </c>
      <c r="C568" s="178">
        <f t="shared" si="31"/>
        <v>0.23205575336736561</v>
      </c>
      <c r="D568" s="178">
        <f t="shared" si="19"/>
        <v>0.75094819246672062</v>
      </c>
      <c r="E568" s="178">
        <f t="shared" si="20"/>
        <v>0.37057363210037852</v>
      </c>
      <c r="F568" s="178">
        <f t="shared" si="21"/>
        <v>9.9370144000382132E-2</v>
      </c>
      <c r="H568" s="178">
        <f t="shared" si="32"/>
        <v>0.25449537510252668</v>
      </c>
      <c r="I568" s="178">
        <f t="shared" si="23"/>
        <v>0.82356433379108362</v>
      </c>
      <c r="J568" s="178">
        <f t="shared" si="24"/>
        <v>0.99928769828249719</v>
      </c>
      <c r="K568" s="178">
        <f t="shared" si="25"/>
        <v>1.7367153681129057</v>
      </c>
      <c r="M568" s="178">
        <f t="shared" si="33"/>
        <v>0.27044864113038969</v>
      </c>
      <c r="N568" s="178">
        <f t="shared" si="27"/>
        <v>0.87519018712038643</v>
      </c>
      <c r="O568" s="178">
        <f t="shared" si="28"/>
        <v>-0.61286156078259235</v>
      </c>
      <c r="P568" s="178">
        <f t="shared" si="29"/>
        <v>0.49372021643095859</v>
      </c>
    </row>
    <row r="569" spans="1:16">
      <c r="A569" s="178">
        <f t="shared" si="30"/>
        <v>76</v>
      </c>
      <c r="B569" s="178">
        <f t="shared" ref="B569:B595" si="34">TAN(A569*PI()/180)</f>
        <v>4.010780933535842</v>
      </c>
      <c r="C569" s="178">
        <f t="shared" ref="C569:C595" si="35">$B$501/(SQRT(1/(1-$C$171^2)*(1/$E$171+B569^2/$F$172-2*$C$171*B569/SQRT($E$171*$F$172))))</f>
        <v>0.19124154850872152</v>
      </c>
      <c r="D569" s="178">
        <f t="shared" ref="D569:D595" si="36">C569*SQRT(B569^2+1)</f>
        <v>0.79050946601868499</v>
      </c>
      <c r="E569" s="178">
        <f t="shared" ref="E569:E595" si="37">D569*COS(A569*PI()/180)+$C$160</f>
        <v>0.32975942724173446</v>
      </c>
      <c r="F569" s="178">
        <f t="shared" ref="F569:F595" si="38">D569*SIN(A569*PI()/180)+$D$160</f>
        <v>0.15220392861349041</v>
      </c>
      <c r="H569" s="178">
        <f t="shared" ref="H569:H595" si="39">$B$501/(SQRT(1/(1-$C$174^2)*(1/$E$174+B569^2/$F$175-2*$C$174*B569/SQRT($E$174*$F$175))))</f>
        <v>0.20691432915281396</v>
      </c>
      <c r="I569" s="178">
        <f t="shared" ref="I569:I595" si="40">H569*SQRT(B569^2+1)</f>
        <v>0.85529393129101305</v>
      </c>
      <c r="J569" s="178">
        <f t="shared" ref="J569:J595" si="41">I569*COS(A569*PI()/180)+$C$161</f>
        <v>0.95170665233278462</v>
      </c>
      <c r="K569" s="178">
        <f t="shared" ref="K569:K595" si="42">I569*SIN(A569*PI()/180)+$D$161</f>
        <v>1.7833471881140843</v>
      </c>
      <c r="M569" s="178">
        <f t="shared" ref="M569:M595" si="43">$B$501/(SQRT(1/(1-$C$177^2)*(1/$E$177+B569^2/$F$178-2*$C$177*B569/SQRT($E$177*$F$178))))</f>
        <v>0.21345616907893963</v>
      </c>
      <c r="N569" s="178">
        <f t="shared" ref="N569:N595" si="44">M569*SQRT(B569^2+1)</f>
        <v>0.88233505507978782</v>
      </c>
      <c r="O569" s="178">
        <f t="shared" ref="O569:O595" si="45">N569*COS(A569*PI()/180)+$C$162</f>
        <v>-0.66985403283404232</v>
      </c>
      <c r="P569" s="178">
        <f t="shared" ref="P569:P595" si="46">N569*SIN(A569*PI()/180)+$D$162</f>
        <v>0.51749081905995431</v>
      </c>
    </row>
    <row r="570" spans="1:16">
      <c r="A570" s="178">
        <f t="shared" ref="A570:A595" si="47">A569+$A$501</f>
        <v>80</v>
      </c>
      <c r="B570" s="178">
        <f t="shared" si="34"/>
        <v>5.6712818196177066</v>
      </c>
      <c r="C570" s="178">
        <f t="shared" si="35"/>
        <v>0.14546876101420486</v>
      </c>
      <c r="D570" s="178">
        <f t="shared" si="36"/>
        <v>0.83772120714807785</v>
      </c>
      <c r="E570" s="178">
        <f t="shared" si="37"/>
        <v>0.28398663974721777</v>
      </c>
      <c r="F570" s="178">
        <f t="shared" si="38"/>
        <v>0.2101703118170134</v>
      </c>
      <c r="H570" s="178">
        <f t="shared" si="39"/>
        <v>0.15517254137776446</v>
      </c>
      <c r="I570" s="178">
        <f t="shared" si="40"/>
        <v>0.89360305108065352</v>
      </c>
      <c r="J570" s="178">
        <f t="shared" si="41"/>
        <v>0.89996486455773494</v>
      </c>
      <c r="K570" s="178">
        <f t="shared" si="42"/>
        <v>1.8334863546922104</v>
      </c>
      <c r="M570" s="178">
        <f t="shared" si="43"/>
        <v>0.15509173276207761</v>
      </c>
      <c r="N570" s="178">
        <f t="shared" si="44"/>
        <v>0.89313769280985245</v>
      </c>
      <c r="O570" s="178">
        <f t="shared" si="45"/>
        <v>-0.72821846915090449</v>
      </c>
      <c r="P570" s="178">
        <f t="shared" si="46"/>
        <v>0.54093381035911881</v>
      </c>
    </row>
    <row r="571" spans="1:16">
      <c r="A571" s="178">
        <f t="shared" si="47"/>
        <v>84</v>
      </c>
      <c r="B571" s="178">
        <f t="shared" si="34"/>
        <v>9.5143644542225871</v>
      </c>
      <c r="C571" s="178">
        <f t="shared" si="35"/>
        <v>9.3461768406406923E-2</v>
      </c>
      <c r="D571" s="178">
        <f t="shared" si="36"/>
        <v>0.89412745088474721</v>
      </c>
      <c r="E571" s="178">
        <f t="shared" si="37"/>
        <v>0.23197964713941988</v>
      </c>
      <c r="F571" s="178">
        <f t="shared" si="38"/>
        <v>0.27440529930954183</v>
      </c>
      <c r="H571" s="178">
        <f t="shared" si="39"/>
        <v>9.8223048274331329E-2</v>
      </c>
      <c r="I571" s="178">
        <f t="shared" si="40"/>
        <v>0.9396775309211558</v>
      </c>
      <c r="J571" s="178">
        <f t="shared" si="41"/>
        <v>0.84301537145430194</v>
      </c>
      <c r="K571" s="178">
        <f t="shared" si="42"/>
        <v>1.8879890209593058</v>
      </c>
      <c r="M571" s="178">
        <f t="shared" si="43"/>
        <v>9.4888636742227569E-2</v>
      </c>
      <c r="N571" s="178">
        <f t="shared" si="44"/>
        <v>0.90777797526074455</v>
      </c>
      <c r="O571" s="178">
        <f t="shared" si="45"/>
        <v>-0.78842156517075446</v>
      </c>
      <c r="P571" s="178">
        <f t="shared" si="46"/>
        <v>0.56416995850242957</v>
      </c>
    </row>
    <row r="572" spans="1:16">
      <c r="A572" s="178">
        <f t="shared" si="47"/>
        <v>88</v>
      </c>
      <c r="B572" s="178">
        <f t="shared" si="34"/>
        <v>28.636253282915515</v>
      </c>
      <c r="C572" s="178">
        <f t="shared" si="35"/>
        <v>3.356212720904473E-2</v>
      </c>
      <c r="D572" s="178">
        <f t="shared" si="36"/>
        <v>0.96167940458119827</v>
      </c>
      <c r="E572" s="178">
        <f t="shared" si="37"/>
        <v>0.17208000594205766</v>
      </c>
      <c r="F572" s="178">
        <f t="shared" si="38"/>
        <v>0.34626954762647566</v>
      </c>
      <c r="H572" s="178">
        <f t="shared" si="39"/>
        <v>3.4727228343887646E-2</v>
      </c>
      <c r="I572" s="178">
        <f t="shared" si="40"/>
        <v>0.99506387269472896</v>
      </c>
      <c r="J572" s="178">
        <f t="shared" si="41"/>
        <v>0.77951955152385821</v>
      </c>
      <c r="K572" s="178">
        <f t="shared" si="42"/>
        <v>1.9479168485418281</v>
      </c>
      <c r="M572" s="178">
        <f t="shared" si="43"/>
        <v>3.2334469114219319E-2</v>
      </c>
      <c r="N572" s="178">
        <f t="shared" si="44"/>
        <v>0.92650244758120148</v>
      </c>
      <c r="O572" s="178">
        <f t="shared" si="45"/>
        <v>-0.85097573279876271</v>
      </c>
      <c r="P572" s="178">
        <f t="shared" si="46"/>
        <v>0.58730293329593364</v>
      </c>
    </row>
    <row r="573" spans="1:16">
      <c r="A573" s="178">
        <f t="shared" si="47"/>
        <v>92</v>
      </c>
      <c r="B573" s="178">
        <f t="shared" si="34"/>
        <v>-28.636253282915796</v>
      </c>
      <c r="C573" s="178">
        <f t="shared" si="35"/>
        <v>3.6393371764455444E-2</v>
      </c>
      <c r="D573" s="178">
        <f t="shared" si="36"/>
        <v>1.0428050603333676</v>
      </c>
      <c r="E573" s="178">
        <f t="shared" si="37"/>
        <v>0.10212450696855749</v>
      </c>
      <c r="F573" s="178">
        <f t="shared" si="38"/>
        <v>0.42734578382110266</v>
      </c>
      <c r="H573" s="178">
        <f t="shared" si="39"/>
        <v>3.7055946871229199E-2</v>
      </c>
      <c r="I573" s="178">
        <f t="shared" si="40"/>
        <v>1.0617902942014044</v>
      </c>
      <c r="J573" s="178">
        <f t="shared" si="41"/>
        <v>0.70773637630874142</v>
      </c>
      <c r="K573" s="178">
        <f t="shared" si="42"/>
        <v>2.0146026221154094</v>
      </c>
      <c r="M573" s="178">
        <f t="shared" si="43"/>
        <v>3.31416243504205E-2</v>
      </c>
      <c r="N573" s="178">
        <f t="shared" si="44"/>
        <v>0.94963043831075433</v>
      </c>
      <c r="O573" s="178">
        <f t="shared" si="45"/>
        <v>-0.91645182626340249</v>
      </c>
      <c r="P573" s="178">
        <f t="shared" si="46"/>
        <v>0.61041683507843159</v>
      </c>
    </row>
    <row r="574" spans="1:16">
      <c r="A574" s="178">
        <f t="shared" si="47"/>
        <v>96</v>
      </c>
      <c r="B574" s="178">
        <f t="shared" si="34"/>
        <v>-9.5143644542225978</v>
      </c>
      <c r="C574" s="178">
        <f t="shared" si="35"/>
        <v>0.11920616313346463</v>
      </c>
      <c r="D574" s="178">
        <f t="shared" si="36"/>
        <v>1.1404182115279731</v>
      </c>
      <c r="E574" s="178">
        <f t="shared" si="37"/>
        <v>1.9311715599548293E-2</v>
      </c>
      <c r="F574" s="178">
        <f t="shared" si="38"/>
        <v>0.51934685339613662</v>
      </c>
      <c r="H574" s="178">
        <f t="shared" si="39"/>
        <v>0.11942722779110031</v>
      </c>
      <c r="I574" s="178">
        <f t="shared" si="40"/>
        <v>1.1425330867564516</v>
      </c>
      <c r="J574" s="178">
        <f t="shared" si="41"/>
        <v>0.6253650953888702</v>
      </c>
      <c r="K574" s="178">
        <f t="shared" si="42"/>
        <v>2.0897333128346087</v>
      </c>
      <c r="M574" s="178">
        <f t="shared" si="43"/>
        <v>0.10218297310111973</v>
      </c>
      <c r="N574" s="178">
        <f t="shared" si="44"/>
        <v>0.97756122980084592</v>
      </c>
      <c r="O574" s="178">
        <f t="shared" si="45"/>
        <v>-0.98549317501410183</v>
      </c>
      <c r="P574" s="178">
        <f t="shared" si="46"/>
        <v>0.6335709330726178</v>
      </c>
    </row>
    <row r="575" spans="1:16">
      <c r="A575" s="178">
        <f t="shared" si="47"/>
        <v>100</v>
      </c>
      <c r="B575" s="178">
        <f t="shared" si="34"/>
        <v>-5.6712818196177111</v>
      </c>
      <c r="C575" s="178">
        <f t="shared" si="35"/>
        <v>0.21840224357926644</v>
      </c>
      <c r="D575" s="178">
        <f t="shared" si="36"/>
        <v>1.2577283937766259</v>
      </c>
      <c r="E575" s="178">
        <f t="shared" si="37"/>
        <v>-7.9884364846253469E-2</v>
      </c>
      <c r="F575" s="178">
        <f t="shared" si="38"/>
        <v>0.62379664552965297</v>
      </c>
      <c r="H575" s="178">
        <f t="shared" si="39"/>
        <v>0.21546947450412876</v>
      </c>
      <c r="I575" s="178">
        <f t="shared" si="40"/>
        <v>1.2408392497928467</v>
      </c>
      <c r="J575" s="178">
        <f t="shared" si="41"/>
        <v>0.52932284867584189</v>
      </c>
      <c r="K575" s="178">
        <f t="shared" si="42"/>
        <v>2.1754472553104658</v>
      </c>
      <c r="M575" s="178">
        <f t="shared" si="43"/>
        <v>0.17552037086964953</v>
      </c>
      <c r="N575" s="178">
        <f t="shared" si="44"/>
        <v>1.0107815309545616</v>
      </c>
      <c r="O575" s="178">
        <f t="shared" si="45"/>
        <v>-1.0588305727826315</v>
      </c>
      <c r="P575" s="178">
        <f t="shared" si="46"/>
        <v>0.6567903742581418</v>
      </c>
    </row>
    <row r="576" spans="1:16">
      <c r="A576" s="178">
        <f t="shared" si="47"/>
        <v>104</v>
      </c>
      <c r="B576" s="178">
        <f t="shared" si="34"/>
        <v>-4.0107809335358438</v>
      </c>
      <c r="C576" s="178">
        <f t="shared" si="35"/>
        <v>0.33809037000106074</v>
      </c>
      <c r="D576" s="178">
        <f t="shared" si="36"/>
        <v>1.397518687438414</v>
      </c>
      <c r="E576" s="178">
        <f t="shared" si="37"/>
        <v>-0.1995724912680478</v>
      </c>
      <c r="F576" s="178">
        <f t="shared" si="38"/>
        <v>0.74118238196717356</v>
      </c>
      <c r="H576" s="178">
        <f t="shared" si="39"/>
        <v>0.32935344812471584</v>
      </c>
      <c r="I576" s="178">
        <f t="shared" si="40"/>
        <v>1.3614040486427477</v>
      </c>
      <c r="J576" s="178">
        <f t="shared" si="41"/>
        <v>0.41543887505525473</v>
      </c>
      <c r="K576" s="178">
        <f t="shared" si="42"/>
        <v>2.2744236720055158</v>
      </c>
      <c r="M576" s="178">
        <f t="shared" si="43"/>
        <v>0.25398695113253444</v>
      </c>
      <c r="N576" s="178">
        <f t="shared" si="44"/>
        <v>1.0498716972391451</v>
      </c>
      <c r="O576" s="178">
        <f t="shared" si="45"/>
        <v>-1.1372971530455165</v>
      </c>
      <c r="P576" s="178">
        <f t="shared" si="46"/>
        <v>0.6800509069418097</v>
      </c>
    </row>
    <row r="577" spans="1:16">
      <c r="A577" s="178">
        <f t="shared" si="47"/>
        <v>108</v>
      </c>
      <c r="B577" s="178">
        <f t="shared" si="34"/>
        <v>-3.077683537175254</v>
      </c>
      <c r="C577" s="178">
        <f t="shared" si="35"/>
        <v>0.48212319572879536</v>
      </c>
      <c r="D577" s="178">
        <f t="shared" si="36"/>
        <v>1.5601834349078183</v>
      </c>
      <c r="E577" s="178">
        <f t="shared" si="37"/>
        <v>-0.34360531699578234</v>
      </c>
      <c r="F577" s="178">
        <f t="shared" si="38"/>
        <v>0.86899859453967665</v>
      </c>
      <c r="H577" s="178">
        <f t="shared" si="39"/>
        <v>0.46672408287017081</v>
      </c>
      <c r="I577" s="178">
        <f t="shared" si="40"/>
        <v>1.5103508589041181</v>
      </c>
      <c r="J577" s="178">
        <f t="shared" si="41"/>
        <v>0.27806824030979982</v>
      </c>
      <c r="K577" s="178">
        <f t="shared" si="42"/>
        <v>2.3898881681253625</v>
      </c>
      <c r="M577" s="178">
        <f t="shared" si="43"/>
        <v>0.33853048557310195</v>
      </c>
      <c r="N577" s="178">
        <f t="shared" si="44"/>
        <v>1.0955076637705699</v>
      </c>
      <c r="O577" s="178">
        <f t="shared" si="45"/>
        <v>-1.2218406874860839</v>
      </c>
      <c r="P577" s="178">
        <f t="shared" si="46"/>
        <v>0.70325458825282094</v>
      </c>
    </row>
    <row r="578" spans="1:16">
      <c r="A578" s="178">
        <f t="shared" si="47"/>
        <v>112</v>
      </c>
      <c r="B578" s="178">
        <f t="shared" si="34"/>
        <v>-2.4750868534162955</v>
      </c>
      <c r="C578" s="178">
        <f t="shared" si="35"/>
        <v>0.65158520673431974</v>
      </c>
      <c r="D578" s="178">
        <f t="shared" si="36"/>
        <v>1.7393853129832351</v>
      </c>
      <c r="E578" s="178">
        <f t="shared" si="37"/>
        <v>-0.51306732800130683</v>
      </c>
      <c r="F578" s="178">
        <f t="shared" si="38"/>
        <v>0.99790595122349413</v>
      </c>
      <c r="H578" s="178">
        <f t="shared" si="39"/>
        <v>0.63506697185577732</v>
      </c>
      <c r="I578" s="178">
        <f t="shared" si="40"/>
        <v>1.6952904273916116</v>
      </c>
      <c r="J578" s="178">
        <f t="shared" si="41"/>
        <v>0.10972535132419337</v>
      </c>
      <c r="K578" s="178">
        <f t="shared" si="42"/>
        <v>2.5253050549517497</v>
      </c>
      <c r="M578" s="178">
        <f t="shared" si="43"/>
        <v>0.43021802742292403</v>
      </c>
      <c r="N578" s="178">
        <f t="shared" si="44"/>
        <v>1.148452896944258</v>
      </c>
      <c r="O578" s="178">
        <f t="shared" si="45"/>
        <v>-1.3135282293359061</v>
      </c>
      <c r="P578" s="178">
        <f t="shared" si="46"/>
        <v>0.72619186974971095</v>
      </c>
    </row>
    <row r="579" spans="1:16">
      <c r="A579" s="178">
        <f t="shared" si="47"/>
        <v>116</v>
      </c>
      <c r="B579" s="178">
        <f t="shared" si="34"/>
        <v>-2.0503038415792956</v>
      </c>
      <c r="C579" s="178">
        <f t="shared" si="35"/>
        <v>0.83943918987417432</v>
      </c>
      <c r="D579" s="178">
        <f t="shared" si="36"/>
        <v>1.9149052030973903</v>
      </c>
      <c r="E579" s="178">
        <f t="shared" si="37"/>
        <v>-0.70092131114116152</v>
      </c>
      <c r="F579" s="178">
        <f t="shared" si="38"/>
        <v>1.1062813679260719</v>
      </c>
      <c r="H579" s="178">
        <f t="shared" si="39"/>
        <v>0.84361411615860549</v>
      </c>
      <c r="I579" s="178">
        <f t="shared" si="40"/>
        <v>1.9244289281760392</v>
      </c>
      <c r="J579" s="178">
        <f t="shared" si="41"/>
        <v>-9.8821792978635026E-2</v>
      </c>
      <c r="K579" s="178">
        <f t="shared" si="42"/>
        <v>2.68312440504313</v>
      </c>
      <c r="M579" s="178">
        <f t="shared" si="43"/>
        <v>0.53022306273997233</v>
      </c>
      <c r="N579" s="178">
        <f t="shared" si="44"/>
        <v>1.2095300218175387</v>
      </c>
      <c r="O579" s="178">
        <f t="shared" si="45"/>
        <v>-1.4135332646529544</v>
      </c>
      <c r="P579" s="178">
        <f t="shared" si="46"/>
        <v>0.74848326840224555</v>
      </c>
    </row>
    <row r="580" spans="1:16">
      <c r="A580" s="178">
        <f t="shared" si="47"/>
        <v>120</v>
      </c>
      <c r="B580" s="178">
        <f t="shared" si="34"/>
        <v>-1.7320508075688783</v>
      </c>
      <c r="C580" s="178">
        <f t="shared" si="35"/>
        <v>1.023832758103197</v>
      </c>
      <c r="D580" s="178">
        <f t="shared" si="36"/>
        <v>2.0476655162063948</v>
      </c>
      <c r="E580" s="178">
        <f t="shared" si="37"/>
        <v>-0.88531487937018405</v>
      </c>
      <c r="F580" s="178">
        <f t="shared" si="38"/>
        <v>1.1585063276429546</v>
      </c>
      <c r="H580" s="178">
        <f t="shared" si="39"/>
        <v>1.1013296072315466</v>
      </c>
      <c r="I580" s="178">
        <f t="shared" si="40"/>
        <v>2.2026592144630941</v>
      </c>
      <c r="J580" s="178">
        <f t="shared" si="41"/>
        <v>-0.35653728405157603</v>
      </c>
      <c r="K580" s="178">
        <f t="shared" si="42"/>
        <v>2.8610179774775344</v>
      </c>
      <c r="M580" s="178">
        <f t="shared" si="43"/>
        <v>0.63977699006861943</v>
      </c>
      <c r="N580" s="178">
        <f t="shared" si="44"/>
        <v>1.2795539801372395</v>
      </c>
      <c r="O580" s="178">
        <f t="shared" si="45"/>
        <v>-1.5230871919816016</v>
      </c>
      <c r="P580" s="178">
        <f t="shared" si="46"/>
        <v>0.76949113828487881</v>
      </c>
    </row>
    <row r="581" spans="1:16">
      <c r="A581" s="178">
        <f t="shared" si="47"/>
        <v>124</v>
      </c>
      <c r="B581" s="178">
        <f t="shared" si="34"/>
        <v>-1.4825609685127408</v>
      </c>
      <c r="C581" s="178">
        <f t="shared" si="35"/>
        <v>1.1697027988517568</v>
      </c>
      <c r="D581" s="178">
        <f t="shared" si="36"/>
        <v>2.0917697481347739</v>
      </c>
      <c r="E581" s="178">
        <f t="shared" si="37"/>
        <v>-1.0311849201187437</v>
      </c>
      <c r="F581" s="178">
        <f t="shared" si="38"/>
        <v>1.1193316864925644</v>
      </c>
      <c r="H581" s="178">
        <f t="shared" si="39"/>
        <v>1.4091757878772031</v>
      </c>
      <c r="I581" s="178">
        <f t="shared" si="40"/>
        <v>2.5200172948026727</v>
      </c>
      <c r="J581" s="178">
        <f t="shared" si="41"/>
        <v>-0.66438346469723253</v>
      </c>
      <c r="K581" s="178">
        <f t="shared" si="42"/>
        <v>3.0426481627525495</v>
      </c>
      <c r="M581" s="178">
        <f t="shared" si="43"/>
        <v>0.76005294127877576</v>
      </c>
      <c r="N581" s="178">
        <f t="shared" si="44"/>
        <v>1.3591963284250383</v>
      </c>
      <c r="O581" s="178">
        <f t="shared" si="45"/>
        <v>-1.6433631431917579</v>
      </c>
      <c r="P581" s="178">
        <f t="shared" si="46"/>
        <v>0.78818971071575938</v>
      </c>
    </row>
    <row r="582" spans="1:16">
      <c r="A582" s="178">
        <f t="shared" si="47"/>
        <v>128</v>
      </c>
      <c r="B582" s="178">
        <f t="shared" si="34"/>
        <v>-1.2799416321930788</v>
      </c>
      <c r="C582" s="178">
        <f t="shared" si="35"/>
        <v>1.2487963981066366</v>
      </c>
      <c r="D582" s="178">
        <f t="shared" si="36"/>
        <v>2.0283815833142351</v>
      </c>
      <c r="E582" s="178">
        <f t="shared" si="37"/>
        <v>-1.1102785193736235</v>
      </c>
      <c r="F582" s="178">
        <f t="shared" si="38"/>
        <v>0.98356247222428672</v>
      </c>
      <c r="H582" s="178">
        <f t="shared" si="39"/>
        <v>1.7411257546495134</v>
      </c>
      <c r="I582" s="178">
        <f t="shared" si="40"/>
        <v>2.8280570157951384</v>
      </c>
      <c r="J582" s="178">
        <f t="shared" si="41"/>
        <v>-0.99633343146954279</v>
      </c>
      <c r="K582" s="178">
        <f t="shared" si="42"/>
        <v>3.1819984821321228</v>
      </c>
      <c r="M582" s="178">
        <f t="shared" si="43"/>
        <v>0.89192937033779052</v>
      </c>
      <c r="N582" s="178">
        <f t="shared" si="44"/>
        <v>1.4487334453824621</v>
      </c>
      <c r="O582" s="178">
        <f t="shared" si="45"/>
        <v>-1.7752395722507726</v>
      </c>
      <c r="P582" s="178">
        <f t="shared" si="46"/>
        <v>0.80298242004363707</v>
      </c>
    </row>
    <row r="583" spans="1:16">
      <c r="A583" s="178">
        <f t="shared" si="47"/>
        <v>132</v>
      </c>
      <c r="B583" s="178">
        <f t="shared" si="34"/>
        <v>-1.1106125148291928</v>
      </c>
      <c r="C583" s="178">
        <f t="shared" si="35"/>
        <v>1.2606343226574213</v>
      </c>
      <c r="D583" s="178">
        <f t="shared" si="36"/>
        <v>1.8839884331659709</v>
      </c>
      <c r="E583" s="178">
        <f t="shared" si="37"/>
        <v>-1.1221164439244082</v>
      </c>
      <c r="F583" s="178">
        <f t="shared" si="38"/>
        <v>0.78525222752139523</v>
      </c>
      <c r="H583" s="178">
        <f t="shared" si="39"/>
        <v>2.0226804098670605</v>
      </c>
      <c r="I583" s="178">
        <f t="shared" si="40"/>
        <v>3.022848440416857</v>
      </c>
      <c r="J583" s="178">
        <f t="shared" si="41"/>
        <v>-1.2778880866870899</v>
      </c>
      <c r="K583" s="178">
        <f t="shared" si="42"/>
        <v>3.199873318570817</v>
      </c>
      <c r="M583" s="178">
        <f t="shared" si="43"/>
        <v>1.0355565821812811</v>
      </c>
      <c r="N583" s="178">
        <f t="shared" si="44"/>
        <v>1.5476150281278671</v>
      </c>
      <c r="O583" s="178">
        <f t="shared" si="45"/>
        <v>-1.9188667840942633</v>
      </c>
      <c r="P583" s="178">
        <f t="shared" si="46"/>
        <v>0.81146698595681666</v>
      </c>
    </row>
    <row r="584" spans="1:16">
      <c r="A584" s="178">
        <f t="shared" si="47"/>
        <v>136</v>
      </c>
      <c r="B584" s="178">
        <f t="shared" si="34"/>
        <v>-0.96568877480707371</v>
      </c>
      <c r="C584" s="178">
        <f t="shared" si="35"/>
        <v>1.2267420777069353</v>
      </c>
      <c r="D584" s="178">
        <f t="shared" si="36"/>
        <v>1.7053721719963346</v>
      </c>
      <c r="E584" s="178">
        <f t="shared" si="37"/>
        <v>-1.0882241989739223</v>
      </c>
      <c r="F584" s="178">
        <f t="shared" si="38"/>
        <v>0.56982702617993464</v>
      </c>
      <c r="H584" s="178">
        <f t="shared" si="39"/>
        <v>2.1592262770998696</v>
      </c>
      <c r="I584" s="178">
        <f t="shared" si="40"/>
        <v>3.0016777551907285</v>
      </c>
      <c r="J584" s="178">
        <f t="shared" si="41"/>
        <v>-1.4144339539198989</v>
      </c>
      <c r="K584" s="178">
        <f t="shared" si="42"/>
        <v>3.0385997199364305</v>
      </c>
      <c r="M584" s="178">
        <f t="shared" si="43"/>
        <v>1.1896394731689608</v>
      </c>
      <c r="N584" s="178">
        <f t="shared" si="44"/>
        <v>1.653793482035752</v>
      </c>
      <c r="O584" s="178">
        <f t="shared" si="45"/>
        <v>-2.0729496750819427</v>
      </c>
      <c r="P584" s="178">
        <f t="shared" si="46"/>
        <v>0.81018637127920656</v>
      </c>
    </row>
    <row r="585" spans="1:16">
      <c r="A585" s="178">
        <f t="shared" si="47"/>
        <v>140</v>
      </c>
      <c r="B585" s="178">
        <f t="shared" si="34"/>
        <v>-0.83909963117728037</v>
      </c>
      <c r="C585" s="178">
        <f t="shared" si="35"/>
        <v>1.1707058850223739</v>
      </c>
      <c r="D585" s="178">
        <f t="shared" si="36"/>
        <v>1.5282479959724036</v>
      </c>
      <c r="E585" s="178">
        <f t="shared" si="37"/>
        <v>-1.0321880062893609</v>
      </c>
      <c r="F585" s="178">
        <f t="shared" si="38"/>
        <v>0.36751484849418581</v>
      </c>
      <c r="H585" s="178">
        <f t="shared" si="39"/>
        <v>2.1274904310105422</v>
      </c>
      <c r="I585" s="178">
        <f t="shared" si="40"/>
        <v>2.7772415166258333</v>
      </c>
      <c r="J585" s="178">
        <f t="shared" si="41"/>
        <v>-1.3826981078305716</v>
      </c>
      <c r="K585" s="178">
        <f t="shared" si="42"/>
        <v>2.7386355778667579</v>
      </c>
      <c r="M585" s="178">
        <f t="shared" si="43"/>
        <v>1.3504073325509358</v>
      </c>
      <c r="N585" s="178">
        <f t="shared" si="44"/>
        <v>1.7628315754797503</v>
      </c>
      <c r="O585" s="178">
        <f t="shared" si="45"/>
        <v>-2.233717534463918</v>
      </c>
      <c r="P585" s="178">
        <f t="shared" si="46"/>
        <v>0.79449118065512558</v>
      </c>
    </row>
    <row r="586" spans="1:16">
      <c r="A586" s="178">
        <f t="shared" si="47"/>
        <v>144</v>
      </c>
      <c r="B586" s="178">
        <f t="shared" si="34"/>
        <v>-0.72654252800536101</v>
      </c>
      <c r="C586" s="178">
        <f t="shared" si="35"/>
        <v>1.1080745612133185</v>
      </c>
      <c r="D586" s="178">
        <f t="shared" si="36"/>
        <v>1.3696554817979136</v>
      </c>
      <c r="E586" s="178">
        <f t="shared" si="37"/>
        <v>-0.96955668248030558</v>
      </c>
      <c r="F586" s="178">
        <f t="shared" si="38"/>
        <v>0.19023926507719602</v>
      </c>
      <c r="H586" s="178">
        <f t="shared" si="39"/>
        <v>1.9912767999694887</v>
      </c>
      <c r="I586" s="178">
        <f t="shared" si="40"/>
        <v>2.4613534867805393</v>
      </c>
      <c r="J586" s="178">
        <f t="shared" si="41"/>
        <v>-1.2464844767895182</v>
      </c>
      <c r="K586" s="178">
        <f t="shared" si="42"/>
        <v>2.4002064220808768</v>
      </c>
      <c r="M586" s="178">
        <f t="shared" si="43"/>
        <v>1.5104696158126611</v>
      </c>
      <c r="N586" s="178">
        <f t="shared" si="44"/>
        <v>1.8670431230924407</v>
      </c>
      <c r="O586" s="178">
        <f t="shared" si="45"/>
        <v>-2.3937798177256431</v>
      </c>
      <c r="P586" s="178">
        <f t="shared" si="46"/>
        <v>0.75878529912035764</v>
      </c>
    </row>
    <row r="587" spans="1:16">
      <c r="A587" s="178">
        <f t="shared" si="47"/>
        <v>148</v>
      </c>
      <c r="B587" s="178">
        <f t="shared" si="34"/>
        <v>-0.62486935190932746</v>
      </c>
      <c r="C587" s="178">
        <f t="shared" si="35"/>
        <v>1.0466630778490424</v>
      </c>
      <c r="D587" s="178">
        <f t="shared" si="36"/>
        <v>1.2342024969960916</v>
      </c>
      <c r="E587" s="178">
        <f t="shared" si="37"/>
        <v>-0.90814519911602953</v>
      </c>
      <c r="F587" s="178">
        <f t="shared" si="38"/>
        <v>3.9203651277793461E-2</v>
      </c>
      <c r="H587" s="178">
        <f t="shared" si="39"/>
        <v>1.8224361712521497</v>
      </c>
      <c r="I587" s="178">
        <f t="shared" si="40"/>
        <v>2.1489773746464422</v>
      </c>
      <c r="J587" s="178">
        <f t="shared" si="41"/>
        <v>-1.0776438480721793</v>
      </c>
      <c r="K587" s="178">
        <f t="shared" si="42"/>
        <v>2.0922436510990656</v>
      </c>
      <c r="M587" s="178">
        <f t="shared" si="43"/>
        <v>1.6582386142310153</v>
      </c>
      <c r="N587" s="178">
        <f t="shared" si="44"/>
        <v>1.955359161522304</v>
      </c>
      <c r="O587" s="178">
        <f t="shared" si="45"/>
        <v>-2.5415488161439974</v>
      </c>
      <c r="P587" s="178">
        <f t="shared" si="46"/>
        <v>0.6975473741580962</v>
      </c>
    </row>
    <row r="588" spans="1:16">
      <c r="A588" s="178">
        <f t="shared" si="47"/>
        <v>152</v>
      </c>
      <c r="B588" s="178">
        <f t="shared" si="34"/>
        <v>-0.53170943166147921</v>
      </c>
      <c r="C588" s="178">
        <f t="shared" si="35"/>
        <v>0.98961469430328319</v>
      </c>
      <c r="D588" s="178">
        <f t="shared" si="36"/>
        <v>1.1208079644896876</v>
      </c>
      <c r="E588" s="178">
        <f t="shared" si="37"/>
        <v>-0.85109681557027017</v>
      </c>
      <c r="F588" s="178">
        <f t="shared" si="38"/>
        <v>-8.8636561173312534E-2</v>
      </c>
      <c r="H588" s="178">
        <f t="shared" si="39"/>
        <v>1.6595298740218167</v>
      </c>
      <c r="I588" s="178">
        <f t="shared" si="40"/>
        <v>1.879533833540864</v>
      </c>
      <c r="J588" s="178">
        <f t="shared" si="41"/>
        <v>-0.91473755084184616</v>
      </c>
      <c r="K588" s="178">
        <f t="shared" si="42"/>
        <v>1.835846828014005</v>
      </c>
      <c r="M588" s="178">
        <f t="shared" si="43"/>
        <v>1.7791061414728204</v>
      </c>
      <c r="N588" s="178">
        <f t="shared" si="44"/>
        <v>2.0149623328290533</v>
      </c>
      <c r="O588" s="178">
        <f t="shared" si="45"/>
        <v>-2.6624163433858024</v>
      </c>
      <c r="P588" s="178">
        <f t="shared" si="46"/>
        <v>0.60733240132050081</v>
      </c>
    </row>
    <row r="589" spans="1:16">
      <c r="A589" s="178">
        <f t="shared" si="47"/>
        <v>156</v>
      </c>
      <c r="B589" s="178">
        <f t="shared" si="34"/>
        <v>-0.44522868530853649</v>
      </c>
      <c r="C589" s="178">
        <f t="shared" si="35"/>
        <v>0.93776447251282569</v>
      </c>
      <c r="D589" s="178">
        <f t="shared" si="36"/>
        <v>1.0265110123066254</v>
      </c>
      <c r="E589" s="178">
        <f t="shared" si="37"/>
        <v>-0.79924659377981266</v>
      </c>
      <c r="F589" s="178">
        <f t="shared" si="38"/>
        <v>-0.19730438461922117</v>
      </c>
      <c r="H589" s="178">
        <f t="shared" si="39"/>
        <v>1.5154926026906359</v>
      </c>
      <c r="I589" s="178">
        <f t="shared" si="40"/>
        <v>1.6589131827127208</v>
      </c>
      <c r="J589" s="178">
        <f t="shared" si="41"/>
        <v>-0.77070027951066533</v>
      </c>
      <c r="K589" s="178">
        <f t="shared" si="42"/>
        <v>1.6281999209633828</v>
      </c>
      <c r="M589" s="178">
        <f t="shared" si="43"/>
        <v>1.8592059844554427</v>
      </c>
      <c r="N589" s="178">
        <f t="shared" si="44"/>
        <v>2.0351543198004771</v>
      </c>
      <c r="O589" s="178">
        <f t="shared" si="45"/>
        <v>-2.7425161863684249</v>
      </c>
      <c r="P589" s="178">
        <f t="shared" si="46"/>
        <v>0.48913672214940046</v>
      </c>
    </row>
    <row r="590" spans="1:16">
      <c r="A590" s="178">
        <f t="shared" si="47"/>
        <v>160</v>
      </c>
      <c r="B590" s="178">
        <f t="shared" si="34"/>
        <v>-0.36397023426620256</v>
      </c>
      <c r="C590" s="178">
        <f t="shared" si="35"/>
        <v>0.89094632540654028</v>
      </c>
      <c r="D590" s="178">
        <f t="shared" si="36"/>
        <v>0.94812527596673135</v>
      </c>
      <c r="E590" s="178">
        <f t="shared" si="37"/>
        <v>-0.75242844667352748</v>
      </c>
      <c r="F590" s="178">
        <f t="shared" si="38"/>
        <v>-0.29054608506832885</v>
      </c>
      <c r="H590" s="178">
        <f t="shared" si="39"/>
        <v>1.3917573111334756</v>
      </c>
      <c r="I590" s="178">
        <f t="shared" si="40"/>
        <v>1.4810771951890873</v>
      </c>
      <c r="J590" s="178">
        <f t="shared" si="41"/>
        <v>-0.64696498795350521</v>
      </c>
      <c r="K590" s="178">
        <f t="shared" si="42"/>
        <v>1.4600173764475701</v>
      </c>
      <c r="M590" s="178">
        <f t="shared" si="43"/>
        <v>1.8905708364203517</v>
      </c>
      <c r="N590" s="178">
        <f t="shared" si="44"/>
        <v>2.0119034614097324</v>
      </c>
      <c r="O590" s="178">
        <f t="shared" si="45"/>
        <v>-2.7738810383333341</v>
      </c>
      <c r="P590" s="178">
        <f t="shared" si="46"/>
        <v>0.34947639620130638</v>
      </c>
    </row>
    <row r="591" spans="1:16">
      <c r="A591" s="178">
        <f t="shared" si="47"/>
        <v>164</v>
      </c>
      <c r="B591" s="178">
        <f t="shared" si="34"/>
        <v>-0.28674538575880848</v>
      </c>
      <c r="C591" s="178">
        <f t="shared" si="35"/>
        <v>0.84862307604549159</v>
      </c>
      <c r="D591" s="178">
        <f t="shared" si="36"/>
        <v>0.88282210726926247</v>
      </c>
      <c r="E591" s="178">
        <f t="shared" si="37"/>
        <v>-0.71010519731247856</v>
      </c>
      <c r="F591" s="178">
        <f t="shared" si="38"/>
        <v>-0.37148527654066854</v>
      </c>
      <c r="H591" s="178">
        <f t="shared" si="39"/>
        <v>1.2859464978579505</v>
      </c>
      <c r="I591" s="178">
        <f t="shared" si="40"/>
        <v>1.337769416269829</v>
      </c>
      <c r="J591" s="178">
        <f t="shared" si="41"/>
        <v>-0.54115417467797988</v>
      </c>
      <c r="K591" s="178">
        <f t="shared" si="42"/>
        <v>1.3221983664660855</v>
      </c>
      <c r="M591" s="178">
        <f t="shared" si="43"/>
        <v>1.8743004469597984</v>
      </c>
      <c r="N591" s="178">
        <f t="shared" si="44"/>
        <v>1.9498336976074271</v>
      </c>
      <c r="O591" s="178">
        <f t="shared" si="45"/>
        <v>-2.7576106488727801</v>
      </c>
      <c r="P591" s="178">
        <f t="shared" si="46"/>
        <v>0.19881189066393484</v>
      </c>
    </row>
    <row r="592" spans="1:16">
      <c r="A592" s="178">
        <f t="shared" si="47"/>
        <v>168</v>
      </c>
      <c r="B592" s="178">
        <f t="shared" si="34"/>
        <v>-0.2125565616700221</v>
      </c>
      <c r="C592" s="178">
        <f t="shared" si="35"/>
        <v>0.81016653702214647</v>
      </c>
      <c r="D592" s="178">
        <f t="shared" si="36"/>
        <v>0.82826613939896199</v>
      </c>
      <c r="E592" s="178">
        <f t="shared" si="37"/>
        <v>-0.67164865828913356</v>
      </c>
      <c r="F592" s="178">
        <f t="shared" si="38"/>
        <v>-0.44261781435562353</v>
      </c>
      <c r="H592" s="178">
        <f t="shared" si="39"/>
        <v>1.1949299104027304</v>
      </c>
      <c r="I592" s="178">
        <f t="shared" si="40"/>
        <v>1.2216253554231435</v>
      </c>
      <c r="J592" s="178">
        <f t="shared" si="41"/>
        <v>-0.45013758722275987</v>
      </c>
      <c r="K592" s="178">
        <f t="shared" si="42"/>
        <v>1.2074493350644906</v>
      </c>
      <c r="M592" s="178">
        <f t="shared" si="43"/>
        <v>1.8193111337203007</v>
      </c>
      <c r="N592" s="178">
        <f t="shared" si="44"/>
        <v>1.8599556266921831</v>
      </c>
      <c r="O592" s="178">
        <f t="shared" si="45"/>
        <v>-2.7026213356332827</v>
      </c>
      <c r="P592" s="178">
        <f t="shared" si="46"/>
        <v>4.8071405164117287E-2</v>
      </c>
    </row>
    <row r="593" spans="1:16">
      <c r="A593" s="178">
        <f t="shared" si="47"/>
        <v>172</v>
      </c>
      <c r="B593" s="178">
        <f t="shared" si="34"/>
        <v>-0.14054083470239176</v>
      </c>
      <c r="C593" s="178">
        <f t="shared" si="35"/>
        <v>0.77497198170249482</v>
      </c>
      <c r="D593" s="178">
        <f t="shared" si="36"/>
        <v>0.78258807505257322</v>
      </c>
      <c r="E593" s="178">
        <f t="shared" si="37"/>
        <v>-0.63645410296948179</v>
      </c>
      <c r="F593" s="178">
        <f t="shared" si="38"/>
        <v>-0.50590881866572435</v>
      </c>
      <c r="H593" s="178">
        <f t="shared" si="39"/>
        <v>1.1158292946969843</v>
      </c>
      <c r="I593" s="178">
        <f t="shared" si="40"/>
        <v>1.1267951880090175</v>
      </c>
      <c r="J593" s="178">
        <f t="shared" si="41"/>
        <v>-0.37103697151701376</v>
      </c>
      <c r="K593" s="178">
        <f t="shared" si="42"/>
        <v>1.1102787223347139</v>
      </c>
      <c r="M593" s="178">
        <f t="shared" si="43"/>
        <v>1.7379860583752802</v>
      </c>
      <c r="N593" s="178">
        <f t="shared" si="44"/>
        <v>1.7550662424003105</v>
      </c>
      <c r="O593" s="178">
        <f t="shared" si="45"/>
        <v>-2.6212962602882621</v>
      </c>
      <c r="P593" s="178">
        <f t="shared" si="46"/>
        <v>-9.437710268227803E-2</v>
      </c>
    </row>
    <row r="594" spans="1:16">
      <c r="A594" s="178">
        <f t="shared" si="47"/>
        <v>176</v>
      </c>
      <c r="B594" s="178">
        <f t="shared" si="34"/>
        <v>-6.9926811943510636E-2</v>
      </c>
      <c r="C594" s="178">
        <f t="shared" si="35"/>
        <v>0.74249798301033265</v>
      </c>
      <c r="D594" s="178">
        <f t="shared" si="36"/>
        <v>0.7443110874103197</v>
      </c>
      <c r="E594" s="178">
        <f t="shared" si="37"/>
        <v>-0.60398010427731963</v>
      </c>
      <c r="F594" s="178">
        <f t="shared" si="38"/>
        <v>-0.56290351101876013</v>
      </c>
      <c r="H594" s="178">
        <f t="shared" si="39"/>
        <v>1.0462578625243306</v>
      </c>
      <c r="I594" s="178">
        <f t="shared" si="40"/>
        <v>1.0488127175912398</v>
      </c>
      <c r="J594" s="178">
        <f t="shared" si="41"/>
        <v>-0.30146553934435982</v>
      </c>
      <c r="K594" s="178">
        <f t="shared" si="42"/>
        <v>1.0266206186697771</v>
      </c>
      <c r="M594" s="178">
        <f t="shared" si="43"/>
        <v>1.6420100197459386</v>
      </c>
      <c r="N594" s="178">
        <f t="shared" si="44"/>
        <v>1.6460196408624215</v>
      </c>
      <c r="O594" s="178">
        <f t="shared" si="45"/>
        <v>-2.5253202216589203</v>
      </c>
      <c r="P594" s="178">
        <f t="shared" si="46"/>
        <v>-0.22381458816732525</v>
      </c>
    </row>
    <row r="595" spans="1:16">
      <c r="A595" s="178">
        <f t="shared" si="47"/>
        <v>180</v>
      </c>
      <c r="B595" s="178">
        <f t="shared" si="34"/>
        <v>-1.22514845490862E-16</v>
      </c>
      <c r="C595" s="178">
        <f t="shared" si="35"/>
        <v>0.71227410840803607</v>
      </c>
      <c r="D595" s="178">
        <f t="shared" si="36"/>
        <v>0.71227410840803607</v>
      </c>
      <c r="E595" s="178">
        <f t="shared" si="37"/>
        <v>-0.57375622967502315</v>
      </c>
      <c r="F595" s="178">
        <f t="shared" si="38"/>
        <v>-0.61482402784515955</v>
      </c>
      <c r="H595" s="178">
        <f t="shared" si="39"/>
        <v>0.9843070576628713</v>
      </c>
      <c r="I595" s="178">
        <f t="shared" si="40"/>
        <v>0.9843070576628713</v>
      </c>
      <c r="J595" s="178">
        <f t="shared" si="41"/>
        <v>-0.23951473448290073</v>
      </c>
      <c r="K595" s="178">
        <f t="shared" si="42"/>
        <v>0.95345914187261882</v>
      </c>
      <c r="M595" s="178">
        <f t="shared" si="43"/>
        <v>1.5402504380225397</v>
      </c>
      <c r="N595" s="178">
        <f t="shared" si="44"/>
        <v>1.5402504380225397</v>
      </c>
      <c r="O595" s="178">
        <f t="shared" si="45"/>
        <v>-2.4235606399355216</v>
      </c>
      <c r="P595" s="178">
        <f t="shared" si="46"/>
        <v>-0.33863511402745949</v>
      </c>
    </row>
    <row r="600" spans="1:16" ht="15">
      <c r="B600" s="166"/>
    </row>
    <row r="609" spans="8:8">
      <c r="H609" s="1"/>
    </row>
    <row r="610" spans="8:8">
      <c r="H610" s="1"/>
    </row>
    <row r="611" spans="8:8">
      <c r="H611" s="1"/>
    </row>
  </sheetData>
  <mergeCells count="3">
    <mergeCell ref="C326:E326"/>
    <mergeCell ref="D390:F390"/>
    <mergeCell ref="D429:F429"/>
  </mergeCells>
  <pageMargins left="0.7" right="0.7" top="0.78740157499999996" bottom="0.78740157499999996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71"/>
  <sheetViews>
    <sheetView workbookViewId="0">
      <selection activeCell="L12" sqref="L12"/>
    </sheetView>
  </sheetViews>
  <sheetFormatPr baseColWidth="10" defaultRowHeight="12.75"/>
  <cols>
    <col min="2" max="2" width="13" customWidth="1"/>
    <col min="4" max="5" width="14" bestFit="1" customWidth="1"/>
  </cols>
  <sheetData>
    <row r="1" spans="1:53" s="10" customFormat="1" ht="20.25">
      <c r="A1" s="10" t="s">
        <v>784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806</v>
      </c>
    </row>
    <row r="8" spans="1:53">
      <c r="A8" t="s">
        <v>807</v>
      </c>
    </row>
    <row r="9" spans="1:53">
      <c r="A9" t="s">
        <v>808</v>
      </c>
    </row>
    <row r="10" spans="1:53">
      <c r="A10" t="s">
        <v>809</v>
      </c>
    </row>
    <row r="12" spans="1:53">
      <c r="A12" t="s">
        <v>810</v>
      </c>
      <c r="B12" t="s">
        <v>811</v>
      </c>
    </row>
    <row r="13" spans="1:53">
      <c r="A13" t="s">
        <v>812</v>
      </c>
      <c r="B13" t="s">
        <v>813</v>
      </c>
    </row>
    <row r="14" spans="1:53">
      <c r="A14" t="s">
        <v>814</v>
      </c>
      <c r="B14" t="s">
        <v>815</v>
      </c>
    </row>
    <row r="15" spans="1:53">
      <c r="A15" t="s">
        <v>816</v>
      </c>
      <c r="B15" t="s">
        <v>828</v>
      </c>
    </row>
    <row r="16" spans="1:53">
      <c r="A16" t="s">
        <v>817</v>
      </c>
      <c r="B16" t="s">
        <v>818</v>
      </c>
    </row>
    <row r="17" spans="1:6">
      <c r="A17" t="s">
        <v>819</v>
      </c>
      <c r="B17" t="s">
        <v>820</v>
      </c>
    </row>
    <row r="18" spans="1:6">
      <c r="A18" t="s">
        <v>821</v>
      </c>
      <c r="B18" t="s">
        <v>822</v>
      </c>
    </row>
    <row r="19" spans="1:6">
      <c r="A19" t="s">
        <v>823</v>
      </c>
      <c r="B19" t="s">
        <v>824</v>
      </c>
    </row>
    <row r="20" spans="1:6">
      <c r="B20" t="s">
        <v>825</v>
      </c>
    </row>
    <row r="21" spans="1:6">
      <c r="A21" t="s">
        <v>826</v>
      </c>
      <c r="B21" t="s">
        <v>827</v>
      </c>
    </row>
    <row r="24" spans="1:6">
      <c r="B24" s="1"/>
      <c r="C24" s="1"/>
      <c r="D24" s="241" t="s">
        <v>785</v>
      </c>
      <c r="E24" s="241"/>
    </row>
    <row r="25" spans="1:6" ht="15">
      <c r="B25" s="256"/>
      <c r="C25" s="256"/>
      <c r="D25" s="6" t="s">
        <v>786</v>
      </c>
      <c r="E25" s="6" t="s">
        <v>787</v>
      </c>
      <c r="F25" s="1"/>
    </row>
    <row r="26" spans="1:6">
      <c r="B26" s="241" t="s">
        <v>788</v>
      </c>
      <c r="C26" s="6" t="s">
        <v>789</v>
      </c>
      <c r="D26" s="196" t="s">
        <v>790</v>
      </c>
      <c r="E26" s="196" t="s">
        <v>791</v>
      </c>
    </row>
    <row r="27" spans="1:6">
      <c r="B27" s="241"/>
      <c r="C27" s="6" t="s">
        <v>792</v>
      </c>
      <c r="D27" s="196" t="s">
        <v>793</v>
      </c>
      <c r="E27" s="196" t="s">
        <v>794</v>
      </c>
      <c r="F27" s="6" t="s">
        <v>397</v>
      </c>
    </row>
    <row r="30" spans="1:6">
      <c r="B30" s="1"/>
      <c r="C30" s="1"/>
      <c r="D30" s="241" t="s">
        <v>785</v>
      </c>
      <c r="E30" s="241"/>
    </row>
    <row r="31" spans="1:6">
      <c r="B31" s="241" t="s">
        <v>795</v>
      </c>
      <c r="C31" s="241"/>
      <c r="D31" s="6" t="s">
        <v>786</v>
      </c>
      <c r="E31" s="6" t="s">
        <v>787</v>
      </c>
      <c r="F31" s="1"/>
    </row>
    <row r="32" spans="1:6">
      <c r="B32" s="241" t="s">
        <v>796</v>
      </c>
      <c r="C32" s="6" t="s">
        <v>789</v>
      </c>
      <c r="D32" s="196">
        <v>430</v>
      </c>
      <c r="E32" s="196">
        <v>310</v>
      </c>
    </row>
    <row r="33" spans="1:13">
      <c r="B33" s="241"/>
      <c r="C33" s="6" t="s">
        <v>792</v>
      </c>
      <c r="D33" s="196">
        <v>100</v>
      </c>
      <c r="E33" s="196">
        <v>500</v>
      </c>
      <c r="F33" s="6" t="s">
        <v>397</v>
      </c>
    </row>
    <row r="34" spans="1:13">
      <c r="B34" s="195"/>
      <c r="C34" s="6" t="s">
        <v>404</v>
      </c>
      <c r="D34" s="196">
        <f>SUM(D32:D33)</f>
        <v>530</v>
      </c>
      <c r="E34" s="196">
        <f>SUM(E32:E33)</f>
        <v>810</v>
      </c>
      <c r="F34" s="196">
        <f>SUM(D34:E34)</f>
        <v>1340</v>
      </c>
    </row>
    <row r="35" spans="1:13">
      <c r="B35" s="195" t="s">
        <v>797</v>
      </c>
      <c r="C35" s="6" t="s">
        <v>648</v>
      </c>
      <c r="D35" s="172">
        <f>D34/F34</f>
        <v>0.39552238805970147</v>
      </c>
      <c r="E35" s="172">
        <f>E34/F34</f>
        <v>0.60447761194029848</v>
      </c>
      <c r="F35" s="196">
        <f>SUM(D35:E35)</f>
        <v>1</v>
      </c>
    </row>
    <row r="38" spans="1:13">
      <c r="B38" s="1"/>
      <c r="C38" s="1"/>
      <c r="D38" s="241" t="s">
        <v>785</v>
      </c>
      <c r="E38" s="241"/>
    </row>
    <row r="39" spans="1:13">
      <c r="B39" s="241" t="s">
        <v>798</v>
      </c>
      <c r="C39" s="241"/>
      <c r="D39" s="6" t="s">
        <v>786</v>
      </c>
      <c r="E39" s="6" t="s">
        <v>787</v>
      </c>
    </row>
    <row r="40" spans="1:13">
      <c r="B40" s="241" t="s">
        <v>788</v>
      </c>
      <c r="C40" s="6" t="s">
        <v>789</v>
      </c>
      <c r="D40" s="199">
        <v>3000</v>
      </c>
      <c r="E40" s="199">
        <v>-5000</v>
      </c>
    </row>
    <row r="41" spans="1:13">
      <c r="B41" s="241"/>
      <c r="C41" s="6" t="s">
        <v>792</v>
      </c>
      <c r="D41" s="199">
        <v>-2000</v>
      </c>
      <c r="E41" s="199">
        <v>1000</v>
      </c>
    </row>
    <row r="45" spans="1:13" ht="15.75">
      <c r="A45" s="15" t="s">
        <v>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8" spans="1:13">
      <c r="A48" s="24" t="s">
        <v>799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1:13">
      <c r="B51" s="1"/>
      <c r="C51" s="1"/>
      <c r="D51" s="241" t="s">
        <v>785</v>
      </c>
      <c r="E51" s="241"/>
    </row>
    <row r="52" spans="1:13">
      <c r="B52" s="241" t="s">
        <v>805</v>
      </c>
      <c r="C52" s="241"/>
      <c r="D52" s="6" t="s">
        <v>786</v>
      </c>
      <c r="E52" s="6" t="s">
        <v>787</v>
      </c>
    </row>
    <row r="53" spans="1:13">
      <c r="B53" s="241" t="s">
        <v>796</v>
      </c>
      <c r="C53" s="6" t="s">
        <v>789</v>
      </c>
      <c r="D53" s="168">
        <f>D32/$D$34</f>
        <v>0.81132075471698117</v>
      </c>
      <c r="E53" s="168">
        <f>E32/$E$34</f>
        <v>0.38271604938271603</v>
      </c>
    </row>
    <row r="54" spans="1:13">
      <c r="B54" s="241"/>
      <c r="C54" s="6" t="s">
        <v>792</v>
      </c>
      <c r="D54" s="168">
        <f>D33/$D$34</f>
        <v>0.18867924528301888</v>
      </c>
      <c r="E54" s="168">
        <f>E33/$E$34</f>
        <v>0.61728395061728392</v>
      </c>
    </row>
    <row r="55" spans="1:13">
      <c r="B55" s="195"/>
      <c r="C55" s="6" t="s">
        <v>404</v>
      </c>
      <c r="D55" s="8">
        <f>SUM(D53:D54)</f>
        <v>1</v>
      </c>
      <c r="E55" s="8">
        <f>SUM(E53:E54)</f>
        <v>1</v>
      </c>
    </row>
    <row r="59" spans="1:13">
      <c r="A59" s="24" t="s">
        <v>834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2" spans="1:13">
      <c r="B62" s="6" t="s">
        <v>829</v>
      </c>
      <c r="C62" s="168">
        <f>(D32+E33)/F34</f>
        <v>0.69402985074626866</v>
      </c>
      <c r="D62" t="s">
        <v>836</v>
      </c>
      <c r="E62" s="8">
        <f>E35*E54+D35*D53</f>
        <v>0.69402985074626855</v>
      </c>
    </row>
    <row r="63" spans="1:13">
      <c r="B63" s="6" t="s">
        <v>830</v>
      </c>
      <c r="C63" s="168">
        <f>_xlfn.NORM.S.INV(E54)</f>
        <v>0.29835517279388085</v>
      </c>
    </row>
    <row r="64" spans="1:13">
      <c r="B64" s="6" t="s">
        <v>566</v>
      </c>
      <c r="C64" s="168">
        <f>_xlfn.NORM.S.INV(D54)</f>
        <v>-0.88277381551731693</v>
      </c>
    </row>
    <row r="65" spans="1:13">
      <c r="B65" s="6" t="s">
        <v>831</v>
      </c>
      <c r="C65" s="168">
        <f>C63-C64</f>
        <v>1.1811289883111977</v>
      </c>
      <c r="D65" s="200" t="s">
        <v>839</v>
      </c>
      <c r="E65" s="195"/>
      <c r="F65" s="195"/>
      <c r="G65" s="195"/>
      <c r="H65" s="195"/>
      <c r="I65" s="195"/>
    </row>
    <row r="66" spans="1:13">
      <c r="B66" s="6" t="s">
        <v>832</v>
      </c>
      <c r="C66" s="168">
        <f>E35/D35</f>
        <v>1.5283018867924529</v>
      </c>
      <c r="D66" s="200" t="s">
        <v>840</v>
      </c>
      <c r="E66" s="200"/>
      <c r="F66" s="200"/>
      <c r="G66" s="200"/>
      <c r="H66" s="200"/>
      <c r="I66" s="200"/>
    </row>
    <row r="67" spans="1:13">
      <c r="B67" s="6" t="s">
        <v>833</v>
      </c>
      <c r="C67" s="168">
        <f>LN(C66)/C65+C65/2</f>
        <v>0.9496761960255069</v>
      </c>
      <c r="D67" s="200" t="s">
        <v>838</v>
      </c>
      <c r="E67" s="200"/>
      <c r="F67" s="200"/>
      <c r="G67" s="200"/>
      <c r="H67" s="200"/>
      <c r="I67" s="200"/>
    </row>
    <row r="69" spans="1:13">
      <c r="B69" s="125" t="s">
        <v>835</v>
      </c>
      <c r="C69" s="196"/>
      <c r="D69" s="196"/>
      <c r="E69" s="196"/>
      <c r="F69" s="196"/>
      <c r="G69" s="196"/>
      <c r="H69" s="196"/>
      <c r="I69" s="196"/>
    </row>
    <row r="70" spans="1:13">
      <c r="C70" s="196"/>
      <c r="D70" s="196"/>
      <c r="E70" s="196"/>
      <c r="F70" s="196"/>
      <c r="G70" s="196"/>
      <c r="H70" s="196"/>
      <c r="I70" s="196"/>
    </row>
    <row r="71" spans="1:13">
      <c r="C71" s="196"/>
      <c r="D71" s="196"/>
      <c r="E71" s="196"/>
      <c r="F71" s="196"/>
      <c r="G71" s="196"/>
      <c r="H71" s="196"/>
      <c r="I71" s="196"/>
    </row>
    <row r="72" spans="1:13">
      <c r="C72" s="196"/>
      <c r="D72" s="196"/>
      <c r="E72" s="196"/>
      <c r="F72" s="196"/>
      <c r="G72" s="196"/>
      <c r="H72" s="196"/>
      <c r="I72" s="196"/>
    </row>
    <row r="73" spans="1:13">
      <c r="C73" s="196"/>
      <c r="D73" s="196"/>
      <c r="E73" s="196"/>
      <c r="F73" s="196"/>
      <c r="G73" s="196"/>
      <c r="H73" s="196"/>
      <c r="I73" s="196"/>
    </row>
    <row r="74" spans="1:13">
      <c r="C74" s="196"/>
      <c r="D74" s="196"/>
      <c r="E74" s="196"/>
      <c r="F74" s="196"/>
      <c r="G74" s="196"/>
      <c r="H74" s="196"/>
      <c r="I74" s="196"/>
    </row>
    <row r="75" spans="1:13">
      <c r="C75" s="196"/>
      <c r="D75" s="196"/>
      <c r="E75" s="196"/>
      <c r="F75" s="196"/>
      <c r="G75" s="196"/>
      <c r="H75" s="196"/>
      <c r="I75" s="196"/>
    </row>
    <row r="79" spans="1:13">
      <c r="A79" s="24" t="s">
        <v>837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2" spans="1:13">
      <c r="B82" s="1"/>
      <c r="C82" s="1"/>
      <c r="D82" s="241" t="s">
        <v>785</v>
      </c>
      <c r="E82" s="241"/>
    </row>
    <row r="83" spans="1:13">
      <c r="B83" s="241" t="s">
        <v>841</v>
      </c>
      <c r="C83" s="241"/>
      <c r="D83" s="6" t="s">
        <v>786</v>
      </c>
      <c r="E83" s="6" t="s">
        <v>787</v>
      </c>
    </row>
    <row r="84" spans="1:13">
      <c r="B84" s="241" t="s">
        <v>796</v>
      </c>
      <c r="C84" s="6" t="s">
        <v>789</v>
      </c>
      <c r="D84" s="168">
        <f>1-D85</f>
        <v>0.59151847198200791</v>
      </c>
      <c r="E84" s="168">
        <f>1-E85</f>
        <v>0.17113840429355687</v>
      </c>
    </row>
    <row r="85" spans="1:13">
      <c r="B85" s="241"/>
      <c r="C85" s="6" t="s">
        <v>792</v>
      </c>
      <c r="D85" s="168">
        <f>_xlfn.NORM.DIST(C67,C65,1,1)</f>
        <v>0.40848152801799215</v>
      </c>
      <c r="E85" s="168">
        <f>_xlfn.NORM.S.DIST(C67,TRUE)</f>
        <v>0.82886159570644313</v>
      </c>
    </row>
    <row r="86" spans="1:13">
      <c r="B86" s="195"/>
      <c r="C86" s="6" t="s">
        <v>404</v>
      </c>
      <c r="D86" s="8">
        <f>SUM(D84:D85)</f>
        <v>1</v>
      </c>
      <c r="E86" s="8">
        <f>SUM(E84:E85)</f>
        <v>1</v>
      </c>
    </row>
    <row r="88" spans="1:13">
      <c r="B88" s="6" t="s">
        <v>122</v>
      </c>
      <c r="C88" s="196" t="s">
        <v>842</v>
      </c>
      <c r="D88" s="196"/>
      <c r="E88" s="196"/>
      <c r="F88" s="196"/>
      <c r="G88" s="196"/>
      <c r="H88" s="196"/>
      <c r="I88" s="196"/>
    </row>
    <row r="89" spans="1:13">
      <c r="C89" s="196"/>
      <c r="D89" s="196"/>
      <c r="E89" s="196"/>
      <c r="F89" s="196"/>
      <c r="G89" s="196"/>
      <c r="H89" s="196"/>
      <c r="I89" s="196"/>
    </row>
    <row r="90" spans="1:13">
      <c r="C90" s="196"/>
      <c r="D90" s="196"/>
      <c r="E90" s="196"/>
      <c r="F90" s="196"/>
      <c r="G90" s="196"/>
      <c r="H90" s="196"/>
      <c r="I90" s="196"/>
    </row>
    <row r="94" spans="1:13">
      <c r="A94" s="24" t="s">
        <v>843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7" spans="1:13">
      <c r="B97" s="195" t="s">
        <v>844</v>
      </c>
      <c r="C97" s="6" t="s">
        <v>829</v>
      </c>
      <c r="D97" s="168">
        <f>D84*D35+E85*E35</f>
        <v>0.73498707662140528</v>
      </c>
    </row>
    <row r="99" spans="1:13">
      <c r="B99" s="195" t="s">
        <v>845</v>
      </c>
      <c r="C99" s="6" t="s">
        <v>829</v>
      </c>
      <c r="D99" s="168">
        <f>D35</f>
        <v>0.39552238805970147</v>
      </c>
    </row>
    <row r="100" spans="1:13">
      <c r="B100" s="195" t="s">
        <v>846</v>
      </c>
      <c r="C100" s="6" t="s">
        <v>829</v>
      </c>
      <c r="D100" s="168">
        <f>E35</f>
        <v>0.60447761194029848</v>
      </c>
    </row>
    <row r="102" spans="1:13">
      <c r="B102" s="6" t="s">
        <v>122</v>
      </c>
      <c r="C102" s="196" t="s">
        <v>847</v>
      </c>
      <c r="D102" s="196"/>
      <c r="E102" s="196"/>
      <c r="F102" s="196"/>
      <c r="G102" s="196"/>
      <c r="H102" s="196"/>
      <c r="I102" s="196"/>
    </row>
    <row r="103" spans="1:13">
      <c r="C103" s="196" t="s">
        <v>848</v>
      </c>
      <c r="D103" s="196"/>
      <c r="E103" s="196"/>
      <c r="F103" s="196"/>
      <c r="G103" s="196"/>
      <c r="H103" s="196"/>
      <c r="I103" s="196"/>
    </row>
    <row r="104" spans="1:13">
      <c r="C104" s="196"/>
      <c r="D104" s="196"/>
      <c r="E104" s="196"/>
      <c r="F104" s="196"/>
      <c r="G104" s="196"/>
      <c r="H104" s="196"/>
      <c r="I104" s="196"/>
    </row>
    <row r="108" spans="1:13">
      <c r="A108" s="24" t="s">
        <v>849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11" spans="1:13">
      <c r="B111" s="6" t="s">
        <v>693</v>
      </c>
      <c r="C111" s="6" t="s">
        <v>850</v>
      </c>
      <c r="D111" s="6" t="s">
        <v>851</v>
      </c>
      <c r="E111" s="6" t="s">
        <v>829</v>
      </c>
    </row>
    <row r="112" spans="1:13">
      <c r="B112" s="172">
        <v>-3.5</v>
      </c>
      <c r="C112" s="172">
        <f>_xlfn.NORM.DIST(B112,0,1,1)</f>
        <v>2.3262907903552504E-4</v>
      </c>
      <c r="D112" s="168">
        <f>_xlfn.NORM.DIST(B112,$C$65,1,1)</f>
        <v>1.4264967497736826E-6</v>
      </c>
      <c r="E112" s="168">
        <f>$E$35*C112+$D$35*(1-D112)</f>
        <v>0.39566244291846375</v>
      </c>
    </row>
    <row r="113" spans="2:5">
      <c r="B113" s="172">
        <f>B112+0.1</f>
        <v>-3.4</v>
      </c>
      <c r="C113" s="172">
        <f t="shared" ref="C113:C176" si="0">_xlfn.NORM.DIST(B113,0,1,1)</f>
        <v>3.369292656768808E-4</v>
      </c>
      <c r="D113" s="168">
        <f t="shared" ref="D113:D176" si="1">_xlfn.NORM.DIST(B113,$C$65,1,1)</f>
        <v>2.312362377624948E-6</v>
      </c>
      <c r="E113" s="168">
        <f t="shared" ref="E113:E176" si="2">$E$35*C113+$D$35*(1-D113)</f>
        <v>0.39572513966652101</v>
      </c>
    </row>
    <row r="114" spans="2:5">
      <c r="B114" s="172">
        <f t="shared" ref="B114:B177" si="3">B113+0.1</f>
        <v>-3.3</v>
      </c>
      <c r="C114" s="172">
        <f t="shared" si="0"/>
        <v>4.8342414238377744E-4</v>
      </c>
      <c r="D114" s="168">
        <f t="shared" si="1"/>
        <v>3.7124608778513205E-6</v>
      </c>
      <c r="E114" s="168">
        <f t="shared" si="2"/>
        <v>0.3958131387694519</v>
      </c>
    </row>
    <row r="115" spans="2:5">
      <c r="B115" s="172">
        <f t="shared" si="3"/>
        <v>-3.1999999999999997</v>
      </c>
      <c r="C115" s="172">
        <f t="shared" si="0"/>
        <v>6.8713793791584817E-4</v>
      </c>
      <c r="D115" s="168">
        <f t="shared" si="1"/>
        <v>5.9032973685488253E-6</v>
      </c>
      <c r="E115" s="168">
        <f t="shared" si="2"/>
        <v>0.39593541267321375</v>
      </c>
    </row>
    <row r="116" spans="2:5">
      <c r="B116" s="172">
        <f t="shared" si="3"/>
        <v>-3.0999999999999996</v>
      </c>
      <c r="C116" s="172">
        <f t="shared" si="0"/>
        <v>9.676032132183561E-4</v>
      </c>
      <c r="D116" s="168">
        <f t="shared" si="1"/>
        <v>9.2973766242299712E-6</v>
      </c>
      <c r="E116" s="168">
        <f t="shared" si="2"/>
        <v>0.39610360521872834</v>
      </c>
    </row>
    <row r="117" spans="2:5">
      <c r="B117" s="172">
        <f t="shared" si="3"/>
        <v>-2.9999999999999996</v>
      </c>
      <c r="C117" s="172">
        <f t="shared" si="0"/>
        <v>1.3498980316300954E-3</v>
      </c>
      <c r="D117" s="168">
        <f t="shared" si="1"/>
        <v>1.4503262368514594E-5</v>
      </c>
      <c r="E117" s="168">
        <f t="shared" si="2"/>
        <v>0.39633263483325748</v>
      </c>
    </row>
    <row r="118" spans="2:5">
      <c r="B118" s="172">
        <f t="shared" si="3"/>
        <v>-2.8999999999999995</v>
      </c>
      <c r="C118" s="172">
        <f t="shared" si="0"/>
        <v>1.8658133003840378E-3</v>
      </c>
      <c r="D118" s="168">
        <f t="shared" si="1"/>
        <v>2.2408736575642879E-5</v>
      </c>
      <c r="E118" s="168">
        <f t="shared" si="2"/>
        <v>0.39664136727084026</v>
      </c>
    </row>
    <row r="119" spans="2:5">
      <c r="B119" s="172">
        <f t="shared" si="3"/>
        <v>-2.7999999999999994</v>
      </c>
      <c r="C119" s="172">
        <f t="shared" si="0"/>
        <v>2.5551303304279364E-3</v>
      </c>
      <c r="D119" s="168">
        <f t="shared" si="1"/>
        <v>3.4294357155222132E-5</v>
      </c>
      <c r="E119" s="168">
        <f t="shared" si="2"/>
        <v>0.3970533429539958</v>
      </c>
    </row>
    <row r="120" spans="2:5">
      <c r="B120" s="172">
        <f t="shared" si="3"/>
        <v>-2.6999999999999993</v>
      </c>
      <c r="C120" s="172">
        <f t="shared" si="0"/>
        <v>3.4669738030406756E-3</v>
      </c>
      <c r="D120" s="168">
        <f t="shared" si="1"/>
        <v>5.1986337266617764E-5</v>
      </c>
      <c r="E120" s="168">
        <f t="shared" si="2"/>
        <v>0.39759753434456091</v>
      </c>
    </row>
    <row r="121" spans="2:5">
      <c r="B121" s="172">
        <f t="shared" si="3"/>
        <v>-2.5999999999999992</v>
      </c>
      <c r="C121" s="172">
        <f t="shared" si="0"/>
        <v>4.6611880237187606E-3</v>
      </c>
      <c r="D121" s="168">
        <f t="shared" si="1"/>
        <v>7.8059377089821316E-5</v>
      </c>
      <c r="E121" s="168">
        <f t="shared" si="2"/>
        <v>0.39830909763384664</v>
      </c>
    </row>
    <row r="122" spans="2:5">
      <c r="B122" s="172">
        <f t="shared" si="3"/>
        <v>-2.4999999999999991</v>
      </c>
      <c r="C122" s="172">
        <f t="shared" si="0"/>
        <v>6.2096653257761522E-3</v>
      </c>
      <c r="D122" s="168">
        <f t="shared" si="1"/>
        <v>1.16101744897553E-4</v>
      </c>
      <c r="E122" s="168">
        <f t="shared" si="2"/>
        <v>0.39923007088737539</v>
      </c>
    </row>
    <row r="123" spans="2:5">
      <c r="B123" s="172">
        <f t="shared" si="3"/>
        <v>-2.399999999999999</v>
      </c>
      <c r="C123" s="172">
        <f t="shared" si="0"/>
        <v>8.1975359245961502E-3</v>
      </c>
      <c r="D123" s="168">
        <f t="shared" si="1"/>
        <v>1.7105634607946052E-4</v>
      </c>
      <c r="E123" s="168">
        <f t="shared" si="2"/>
        <v>0.400409958384702</v>
      </c>
    </row>
    <row r="124" spans="2:5">
      <c r="B124" s="172">
        <f t="shared" si="3"/>
        <v>-2.2999999999999989</v>
      </c>
      <c r="C124" s="172">
        <f t="shared" si="0"/>
        <v>1.0724110021675828E-2</v>
      </c>
      <c r="D124" s="168">
        <f t="shared" si="1"/>
        <v>2.4965248834490363E-4</v>
      </c>
      <c r="E124" s="168">
        <f t="shared" si="2"/>
        <v>0.40190612932741387</v>
      </c>
    </row>
    <row r="125" spans="2:5">
      <c r="B125" s="172">
        <f t="shared" si="3"/>
        <v>-2.1999999999999988</v>
      </c>
      <c r="C125" s="172">
        <f t="shared" si="0"/>
        <v>1.3903447513498641E-2</v>
      </c>
      <c r="D125" s="168">
        <f t="shared" si="1"/>
        <v>3.6094323353111113E-4</v>
      </c>
      <c r="E125" s="168">
        <f t="shared" si="2"/>
        <v>0.40378394968071818</v>
      </c>
    </row>
    <row r="126" spans="2:5">
      <c r="B126" s="172">
        <f t="shared" si="3"/>
        <v>-2.0999999999999988</v>
      </c>
      <c r="C126" s="172">
        <f t="shared" si="0"/>
        <v>1.7864420562816605E-2</v>
      </c>
      <c r="D126" s="168">
        <f t="shared" si="1"/>
        <v>5.1696224525509091E-4</v>
      </c>
      <c r="E126" s="168">
        <f t="shared" si="2"/>
        <v>0.40611656019843001</v>
      </c>
    </row>
    <row r="127" spans="2:5">
      <c r="B127" s="172">
        <f t="shared" si="3"/>
        <v>-1.9999999999999987</v>
      </c>
      <c r="C127" s="172">
        <f t="shared" si="0"/>
        <v>2.2750131948179264E-2</v>
      </c>
      <c r="D127" s="168">
        <f t="shared" si="1"/>
        <v>7.3351147731396023E-4</v>
      </c>
      <c r="E127" s="168">
        <f t="shared" si="2"/>
        <v>0.40898421327988715</v>
      </c>
    </row>
    <row r="128" spans="2:5">
      <c r="B128" s="172">
        <f t="shared" si="3"/>
        <v>-1.8999999999999986</v>
      </c>
      <c r="C128" s="172">
        <f t="shared" si="0"/>
        <v>2.8716559816001873E-2</v>
      </c>
      <c r="D128" s="168">
        <f t="shared" si="1"/>
        <v>1.0310864672463682E-3</v>
      </c>
      <c r="E128" s="168">
        <f t="shared" si="2"/>
        <v>0.4124730877785977</v>
      </c>
    </row>
    <row r="129" spans="2:5">
      <c r="B129" s="172">
        <f t="shared" si="3"/>
        <v>-1.7999999999999985</v>
      </c>
      <c r="C129" s="172">
        <f t="shared" si="0"/>
        <v>3.5930319112925921E-2</v>
      </c>
      <c r="D129" s="168">
        <f t="shared" si="1"/>
        <v>1.4359390019418727E-3</v>
      </c>
      <c r="E129" s="168">
        <f t="shared" si="2"/>
        <v>0.41667351553017973</v>
      </c>
    </row>
    <row r="130" spans="2:5">
      <c r="B130" s="172">
        <f t="shared" si="3"/>
        <v>-1.6999999999999984</v>
      </c>
      <c r="C130" s="172">
        <f t="shared" si="0"/>
        <v>4.4565462758543187E-2</v>
      </c>
      <c r="D130" s="168">
        <f t="shared" si="1"/>
        <v>1.9812671991337452E-3</v>
      </c>
      <c r="E130" s="168">
        <f t="shared" si="2"/>
        <v>0.42167757702901421</v>
      </c>
    </row>
    <row r="131" spans="2:5">
      <c r="B131" s="172">
        <f t="shared" si="3"/>
        <v>-1.5999999999999983</v>
      </c>
      <c r="C131" s="172">
        <f t="shared" si="0"/>
        <v>5.4799291699558182E-2</v>
      </c>
      <c r="D131" s="168">
        <f t="shared" si="1"/>
        <v>2.7085104566763863E-3</v>
      </c>
      <c r="E131" s="168">
        <f t="shared" si="2"/>
        <v>0.42757605651836089</v>
      </c>
    </row>
    <row r="132" spans="2:5">
      <c r="B132" s="172">
        <f t="shared" si="3"/>
        <v>-1.4999999999999982</v>
      </c>
      <c r="C132" s="172">
        <f t="shared" si="0"/>
        <v>6.6807201268858279E-2</v>
      </c>
      <c r="D132" s="168">
        <f t="shared" si="1"/>
        <v>3.6687113625509396E-3</v>
      </c>
      <c r="E132" s="168">
        <f t="shared" si="2"/>
        <v>0.43445478806389787</v>
      </c>
    </row>
    <row r="133" spans="2:5">
      <c r="B133" s="172">
        <f t="shared" si="3"/>
        <v>-1.3999999999999981</v>
      </c>
      <c r="C133" s="172">
        <f t="shared" si="0"/>
        <v>8.0756659233771302E-2</v>
      </c>
      <c r="D133" s="168">
        <f t="shared" si="1"/>
        <v>4.9238889587445746E-3</v>
      </c>
      <c r="E133" s="168">
        <f t="shared" si="2"/>
        <v>0.44239047226210454</v>
      </c>
    </row>
    <row r="134" spans="2:5">
      <c r="B134" s="172">
        <f t="shared" si="3"/>
        <v>-1.299999999999998</v>
      </c>
      <c r="C134" s="172">
        <f t="shared" si="0"/>
        <v>9.6800484585610636E-2</v>
      </c>
      <c r="D134" s="168">
        <f t="shared" si="1"/>
        <v>6.5483485288749688E-3</v>
      </c>
      <c r="E134" s="168">
        <f t="shared" si="2"/>
        <v>0.45144609536868724</v>
      </c>
    </row>
    <row r="135" spans="2:5">
      <c r="B135" s="172">
        <f t="shared" si="3"/>
        <v>-1.199999999999998</v>
      </c>
      <c r="C135" s="172">
        <f t="shared" si="0"/>
        <v>0.11506967022170861</v>
      </c>
      <c r="D135" s="168">
        <f t="shared" si="1"/>
        <v>8.6298335822835737E-3</v>
      </c>
      <c r="E135" s="168">
        <f t="shared" si="2"/>
        <v>0.46166613513505494</v>
      </c>
    </row>
    <row r="136" spans="2:5">
      <c r="B136" s="172">
        <f t="shared" si="3"/>
        <v>-1.0999999999999979</v>
      </c>
      <c r="C136" s="172">
        <f t="shared" si="0"/>
        <v>0.13566606094638309</v>
      </c>
      <c r="D136" s="168">
        <f t="shared" si="1"/>
        <v>1.1270407618947029E-2</v>
      </c>
      <c r="E136" s="168">
        <f t="shared" si="2"/>
        <v>0.47307178606606592</v>
      </c>
    </row>
    <row r="137" spans="2:5">
      <c r="B137" s="172">
        <f t="shared" si="3"/>
        <v>-0.99999999999999789</v>
      </c>
      <c r="C137" s="172">
        <f t="shared" si="0"/>
        <v>0.15865525393145755</v>
      </c>
      <c r="D137" s="168">
        <f t="shared" si="1"/>
        <v>1.458693864280499E-2</v>
      </c>
      <c r="E137" s="168">
        <f t="shared" si="2"/>
        <v>0.485656476271488</v>
      </c>
    </row>
    <row r="138" spans="2:5">
      <c r="B138" s="172">
        <f t="shared" si="3"/>
        <v>-0.89999999999999791</v>
      </c>
      <c r="C138" s="172">
        <f t="shared" si="0"/>
        <v>0.18406012534676006</v>
      </c>
      <c r="D138" s="168">
        <f t="shared" si="1"/>
        <v>1.8711050572715302E-2</v>
      </c>
      <c r="E138" s="168">
        <f t="shared" si="2"/>
        <v>0.49938197367711679</v>
      </c>
    </row>
    <row r="139" spans="2:5">
      <c r="B139" s="172">
        <f t="shared" si="3"/>
        <v>-0.79999999999999793</v>
      </c>
      <c r="C139" s="172">
        <f t="shared" si="0"/>
        <v>0.2118553985833973</v>
      </c>
      <c r="D139" s="168">
        <f t="shared" si="1"/>
        <v>2.3788405087402664E-2</v>
      </c>
      <c r="E139" s="168">
        <f t="shared" si="2"/>
        <v>0.51417538668375251</v>
      </c>
    </row>
    <row r="140" spans="2:5">
      <c r="B140" s="172">
        <f t="shared" si="3"/>
        <v>-0.69999999999999796</v>
      </c>
      <c r="C140" s="172">
        <f t="shared" si="0"/>
        <v>0.24196365222307364</v>
      </c>
      <c r="D140" s="168">
        <f t="shared" si="1"/>
        <v>2.9977187275550113E-2</v>
      </c>
      <c r="E140" s="168">
        <f t="shared" si="2"/>
        <v>0.52992735003331948</v>
      </c>
    </row>
    <row r="141" spans="2:5">
      <c r="B141" s="172">
        <f t="shared" si="3"/>
        <v>-0.59999999999999798</v>
      </c>
      <c r="C141" s="172">
        <f t="shared" si="0"/>
        <v>0.27425311775007422</v>
      </c>
      <c r="D141" s="168">
        <f t="shared" si="1"/>
        <v>3.7445690529338403E-2</v>
      </c>
      <c r="E141" s="168">
        <f t="shared" si="2"/>
        <v>0.54649164880373935</v>
      </c>
    </row>
    <row r="142" spans="2:5">
      <c r="B142" s="172">
        <f t="shared" si="3"/>
        <v>-0.499999999999998</v>
      </c>
      <c r="C142" s="172">
        <f t="shared" si="0"/>
        <v>0.30853753872598755</v>
      </c>
      <c r="D142" s="168">
        <f t="shared" si="1"/>
        <v>4.6368931434053386E-2</v>
      </c>
      <c r="E142" s="168">
        <f t="shared" si="2"/>
        <v>0.56368647217015044</v>
      </c>
    </row>
    <row r="143" spans="2:5">
      <c r="B143" s="172">
        <f t="shared" si="3"/>
        <v>-0.39999999999999802</v>
      </c>
      <c r="C143" s="172">
        <f t="shared" si="0"/>
        <v>0.34457825838967654</v>
      </c>
      <c r="D143" s="168">
        <f t="shared" si="1"/>
        <v>5.6924273915682423E-2</v>
      </c>
      <c r="E143" s="168">
        <f t="shared" si="2"/>
        <v>0.58129740605994495</v>
      </c>
    </row>
    <row r="144" spans="2:5">
      <c r="B144" s="172">
        <f t="shared" si="3"/>
        <v>-0.29999999999999805</v>
      </c>
      <c r="C144" s="172">
        <f t="shared" si="0"/>
        <v>0.3820885778110481</v>
      </c>
      <c r="D144" s="168">
        <f t="shared" si="1"/>
        <v>6.9286102254917964E-2</v>
      </c>
      <c r="E144" s="168">
        <f t="shared" si="2"/>
        <v>0.59908217450137491</v>
      </c>
    </row>
    <row r="145" spans="2:12">
      <c r="B145" s="172">
        <f t="shared" si="3"/>
        <v>-0.19999999999999804</v>
      </c>
      <c r="C145" s="172">
        <f t="shared" si="0"/>
        <v>0.42074029056089773</v>
      </c>
      <c r="D145" s="168">
        <f t="shared" si="1"/>
        <v>8.3619651960389244E-2</v>
      </c>
      <c r="E145" s="168">
        <f t="shared" si="2"/>
        <v>0.61677702971292603</v>
      </c>
    </row>
    <row r="146" spans="2:12">
      <c r="B146" s="172">
        <f t="shared" si="3"/>
        <v>-9.9999999999998035E-2</v>
      </c>
      <c r="C146" s="172">
        <f t="shared" si="0"/>
        <v>0.46017216272297179</v>
      </c>
      <c r="D146" s="168">
        <f t="shared" si="1"/>
        <v>0.10007418168226713</v>
      </c>
      <c r="E146" s="168">
        <f t="shared" si="2"/>
        <v>0.63410457874179516</v>
      </c>
    </row>
    <row r="147" spans="2:12">
      <c r="B147" s="172">
        <f t="shared" si="3"/>
        <v>1.9706458687096529E-15</v>
      </c>
      <c r="C147" s="172">
        <f t="shared" si="0"/>
        <v>0.50000000000000078</v>
      </c>
      <c r="D147" s="168">
        <f t="shared" si="1"/>
        <v>0.11877574284870722</v>
      </c>
      <c r="E147" s="168">
        <f t="shared" si="2"/>
        <v>0.65078272857476549</v>
      </c>
    </row>
    <row r="148" spans="2:12">
      <c r="B148" s="172">
        <f t="shared" si="3"/>
        <v>0.10000000000000198</v>
      </c>
      <c r="C148" s="172">
        <f t="shared" si="0"/>
        <v>0.53982783727702977</v>
      </c>
      <c r="D148" s="168">
        <f t="shared" si="1"/>
        <v>0.13981987013291275</v>
      </c>
      <c r="E148" s="168">
        <f t="shared" si="2"/>
        <v>0.66653434106264953</v>
      </c>
    </row>
    <row r="149" spans="2:12">
      <c r="B149" s="172">
        <f t="shared" si="3"/>
        <v>0.20000000000000198</v>
      </c>
      <c r="C149" s="172">
        <f t="shared" si="0"/>
        <v>0.57925970943910388</v>
      </c>
      <c r="D149" s="168">
        <f t="shared" si="1"/>
        <v>0.1632645684476817</v>
      </c>
      <c r="E149" s="168">
        <f t="shared" si="2"/>
        <v>0.68109712191671856</v>
      </c>
    </row>
    <row r="150" spans="2:12">
      <c r="B150" s="172">
        <f t="shared" si="3"/>
        <v>0.30000000000000199</v>
      </c>
      <c r="C150" s="172">
        <f t="shared" si="0"/>
        <v>0.61791142218895345</v>
      </c>
      <c r="D150" s="168">
        <f t="shared" si="1"/>
        <v>0.18912400444200456</v>
      </c>
      <c r="E150" s="168">
        <f t="shared" si="2"/>
        <v>0.69423323105879842</v>
      </c>
    </row>
    <row r="151" spans="2:12">
      <c r="B151" s="172">
        <f t="shared" si="3"/>
        <v>0.40000000000000202</v>
      </c>
      <c r="C151" s="172">
        <f t="shared" si="0"/>
        <v>0.65542174161032496</v>
      </c>
      <c r="D151" s="168">
        <f t="shared" si="1"/>
        <v>0.21736331697372116</v>
      </c>
      <c r="E151" s="168">
        <f t="shared" si="2"/>
        <v>0.70573809903603801</v>
      </c>
    </row>
    <row r="152" spans="2:12">
      <c r="B152" s="172">
        <f t="shared" si="3"/>
        <v>0.500000000000002</v>
      </c>
      <c r="C152" s="172">
        <f t="shared" si="0"/>
        <v>0.6914624612740139</v>
      </c>
      <c r="D152" s="168">
        <f t="shared" si="1"/>
        <v>0.24789493800368206</v>
      </c>
      <c r="E152" s="168">
        <f t="shared" si="2"/>
        <v>0.71544796752985051</v>
      </c>
    </row>
    <row r="153" spans="2:12">
      <c r="B153" s="172">
        <f t="shared" si="3"/>
        <v>0.60000000000000198</v>
      </c>
      <c r="C153" s="172">
        <f t="shared" si="0"/>
        <v>0.72574688224992712</v>
      </c>
      <c r="D153" s="168">
        <f t="shared" si="1"/>
        <v>0.28057676137144782</v>
      </c>
      <c r="E153" s="168">
        <f t="shared" si="2"/>
        <v>0.72324573962356231</v>
      </c>
    </row>
    <row r="154" spans="2:12">
      <c r="B154" s="172">
        <f t="shared" si="3"/>
        <v>0.70000000000000195</v>
      </c>
      <c r="C154" s="172">
        <f t="shared" si="0"/>
        <v>0.75803634777692763</v>
      </c>
      <c r="D154" s="168">
        <f t="shared" si="1"/>
        <v>0.31521241327295019</v>
      </c>
      <c r="E154" s="168">
        <f t="shared" si="2"/>
        <v>0.72906482288406549</v>
      </c>
    </row>
    <row r="155" spans="2:12">
      <c r="B155" s="172">
        <f t="shared" si="3"/>
        <v>0.80000000000000193</v>
      </c>
      <c r="C155" s="172">
        <f t="shared" si="0"/>
        <v>0.78814460141660381</v>
      </c>
      <c r="D155" s="168">
        <f t="shared" si="1"/>
        <v>0.35155376914537034</v>
      </c>
      <c r="E155" s="168">
        <f t="shared" si="2"/>
        <v>0.73289076828388267</v>
      </c>
    </row>
    <row r="156" spans="2:12">
      <c r="B156" s="172">
        <f t="shared" si="3"/>
        <v>0.90000000000000191</v>
      </c>
      <c r="C156" s="172">
        <f t="shared" si="0"/>
        <v>0.81593987465324103</v>
      </c>
      <c r="D156" s="168">
        <f t="shared" si="1"/>
        <v>0.38930573396205487</v>
      </c>
      <c r="E156" s="168">
        <f t="shared" si="2"/>
        <v>0.73476064139495223</v>
      </c>
      <c r="F156" s="254" t="s">
        <v>854</v>
      </c>
      <c r="G156" s="255"/>
      <c r="H156" s="255"/>
      <c r="I156" s="255"/>
      <c r="J156" s="255"/>
      <c r="K156" s="255"/>
      <c r="L156" s="255"/>
    </row>
    <row r="157" spans="2:12">
      <c r="B157" s="172">
        <f t="shared" si="3"/>
        <v>1.000000000000002</v>
      </c>
      <c r="C157" s="172">
        <f t="shared" si="0"/>
        <v>0.84134474606854348</v>
      </c>
      <c r="D157" s="168">
        <f t="shared" si="1"/>
        <v>0.42813316576333182</v>
      </c>
      <c r="E157" s="168">
        <f t="shared" si="2"/>
        <v>0.73476019885145849</v>
      </c>
      <c r="F157" s="254"/>
      <c r="G157" s="255"/>
      <c r="H157" s="255"/>
      <c r="I157" s="255"/>
      <c r="J157" s="255"/>
      <c r="K157" s="255"/>
      <c r="L157" s="255"/>
    </row>
    <row r="158" spans="2:12">
      <c r="B158" s="172">
        <f t="shared" si="3"/>
        <v>1.1000000000000021</v>
      </c>
      <c r="C158" s="172">
        <f t="shared" si="0"/>
        <v>0.86433393905361777</v>
      </c>
      <c r="D158" s="168">
        <f t="shared" si="1"/>
        <v>0.46766968616443144</v>
      </c>
      <c r="E158" s="168">
        <f t="shared" si="2"/>
        <v>0.73301907236289676</v>
      </c>
    </row>
    <row r="159" spans="2:12">
      <c r="B159" s="172">
        <f t="shared" si="3"/>
        <v>1.2000000000000022</v>
      </c>
      <c r="C159" s="172">
        <f t="shared" si="0"/>
        <v>0.88493032977829222</v>
      </c>
      <c r="D159" s="168">
        <f t="shared" si="1"/>
        <v>0.50752799762837975</v>
      </c>
      <c r="E159" s="168">
        <f t="shared" si="2"/>
        <v>0.7297042749084891</v>
      </c>
    </row>
    <row r="160" spans="2:12">
      <c r="B160" s="172">
        <f t="shared" si="3"/>
        <v>1.3000000000000023</v>
      </c>
      <c r="C160" s="172">
        <f t="shared" si="0"/>
        <v>0.90319951541439003</v>
      </c>
      <c r="D160" s="168">
        <f t="shared" si="1"/>
        <v>0.54731122589383219</v>
      </c>
      <c r="E160" s="168">
        <f t="shared" si="2"/>
        <v>0.72501243116561553</v>
      </c>
    </row>
    <row r="161" spans="2:5">
      <c r="B161" s="172">
        <f t="shared" si="3"/>
        <v>1.4000000000000024</v>
      </c>
      <c r="C161" s="172">
        <f t="shared" si="0"/>
        <v>0.91924334076622927</v>
      </c>
      <c r="D161" s="168">
        <f t="shared" si="1"/>
        <v>0.58662473584767716</v>
      </c>
      <c r="E161" s="168">
        <f t="shared" si="2"/>
        <v>0.71916119106072895</v>
      </c>
    </row>
    <row r="162" spans="2:5">
      <c r="B162" s="172">
        <f t="shared" si="3"/>
        <v>1.5000000000000024</v>
      </c>
      <c r="C162" s="172">
        <f t="shared" si="0"/>
        <v>0.93319279873114225</v>
      </c>
      <c r="D162" s="168">
        <f t="shared" si="1"/>
        <v>0.62508783647247301</v>
      </c>
      <c r="E162" s="168">
        <f t="shared" si="2"/>
        <v>0.71238030868792124</v>
      </c>
    </row>
    <row r="163" spans="2:5">
      <c r="B163" s="172">
        <f t="shared" si="3"/>
        <v>1.6000000000000025</v>
      </c>
      <c r="C163" s="172">
        <f t="shared" si="0"/>
        <v>0.94520070830044234</v>
      </c>
      <c r="D163" s="168">
        <f t="shared" si="1"/>
        <v>0.66234479816650493</v>
      </c>
      <c r="E163" s="168">
        <f t="shared" si="2"/>
        <v>0.70490285872769443</v>
      </c>
    </row>
    <row r="164" spans="2:5">
      <c r="B164" s="172">
        <f t="shared" si="3"/>
        <v>1.7000000000000026</v>
      </c>
      <c r="C164" s="172">
        <f t="shared" si="0"/>
        <v>0.95543453724145722</v>
      </c>
      <c r="D164" s="168">
        <f t="shared" si="1"/>
        <v>0.69807465305025629</v>
      </c>
      <c r="E164" s="168">
        <f t="shared" si="2"/>
        <v>0.69695702167831675</v>
      </c>
    </row>
    <row r="165" spans="2:5">
      <c r="B165" s="172">
        <f t="shared" si="3"/>
        <v>1.8000000000000027</v>
      </c>
      <c r="C165" s="172">
        <f t="shared" si="0"/>
        <v>0.96406968088707445</v>
      </c>
      <c r="D165" s="168">
        <f t="shared" si="1"/>
        <v>0.7319993316650798</v>
      </c>
      <c r="E165" s="168">
        <f t="shared" si="2"/>
        <v>0.68875880278808799</v>
      </c>
    </row>
    <row r="166" spans="2:5">
      <c r="B166" s="172">
        <f t="shared" si="3"/>
        <v>1.9000000000000028</v>
      </c>
      <c r="C166" s="172">
        <f t="shared" si="0"/>
        <v>0.97128344018399837</v>
      </c>
      <c r="D166" s="168">
        <f t="shared" si="1"/>
        <v>0.76388980052067079</v>
      </c>
      <c r="E166" s="168">
        <f t="shared" si="2"/>
        <v>0.6805059643828979</v>
      </c>
    </row>
    <row r="167" spans="2:5">
      <c r="B167" s="172">
        <f t="shared" si="3"/>
        <v>2.0000000000000027</v>
      </c>
      <c r="C167" s="172">
        <f t="shared" si="0"/>
        <v>0.9772498680518209</v>
      </c>
      <c r="D167" s="168">
        <f t="shared" si="1"/>
        <v>0.79356999476190215</v>
      </c>
      <c r="E167" s="168">
        <f t="shared" si="2"/>
        <v>0.67237335514788554</v>
      </c>
    </row>
    <row r="168" spans="2:5">
      <c r="B168" s="172">
        <f t="shared" si="3"/>
        <v>2.1000000000000028</v>
      </c>
      <c r="C168" s="172">
        <f t="shared" si="0"/>
        <v>0.98213557943718355</v>
      </c>
      <c r="D168" s="168">
        <f t="shared" si="1"/>
        <v>0.82091847801720819</v>
      </c>
      <c r="E168" s="168">
        <f t="shared" si="2"/>
        <v>0.66450972089178983</v>
      </c>
    </row>
    <row r="169" spans="2:5">
      <c r="B169" s="172">
        <f t="shared" si="3"/>
        <v>2.2000000000000028</v>
      </c>
      <c r="C169" s="172">
        <f t="shared" si="0"/>
        <v>0.98609655248650152</v>
      </c>
      <c r="D169" s="168">
        <f t="shared" si="1"/>
        <v>0.84586789627451553</v>
      </c>
      <c r="E169" s="168">
        <f t="shared" si="2"/>
        <v>0.6570359869317709</v>
      </c>
    </row>
    <row r="170" spans="2:5">
      <c r="B170" s="172">
        <f t="shared" si="3"/>
        <v>2.3000000000000029</v>
      </c>
      <c r="C170" s="172">
        <f t="shared" si="0"/>
        <v>0.98927588997832427</v>
      </c>
      <c r="D170" s="168">
        <f t="shared" si="1"/>
        <v>0.86840241428272502</v>
      </c>
      <c r="E170" s="168">
        <f t="shared" si="2"/>
        <v>0.65004491888999882</v>
      </c>
    </row>
    <row r="171" spans="2:5">
      <c r="B171" s="172">
        <f t="shared" si="3"/>
        <v>2.400000000000003</v>
      </c>
      <c r="C171" s="172">
        <f t="shared" si="0"/>
        <v>0.99180246407540396</v>
      </c>
      <c r="D171" s="168">
        <f t="shared" si="1"/>
        <v>0.88855342314740271</v>
      </c>
      <c r="E171" s="168">
        <f t="shared" si="2"/>
        <v>0.64360200121862221</v>
      </c>
    </row>
    <row r="172" spans="2:5">
      <c r="B172" s="172">
        <f t="shared" si="3"/>
        <v>2.5000000000000031</v>
      </c>
      <c r="C172" s="172">
        <f t="shared" si="0"/>
        <v>0.99379033467422395</v>
      </c>
      <c r="D172" s="168">
        <f t="shared" si="1"/>
        <v>0.90639388057293258</v>
      </c>
      <c r="E172" s="168">
        <f t="shared" si="2"/>
        <v>0.6377473241660202</v>
      </c>
    </row>
    <row r="173" spans="2:5">
      <c r="B173" s="172">
        <f t="shared" si="3"/>
        <v>2.6000000000000032</v>
      </c>
      <c r="C173" s="172">
        <f t="shared" si="0"/>
        <v>0.99533881197628127</v>
      </c>
      <c r="D173" s="168">
        <f t="shared" si="1"/>
        <v>0.92203168750454356</v>
      </c>
      <c r="E173" s="168">
        <f t="shared" si="2"/>
        <v>0.63249824128610421</v>
      </c>
    </row>
    <row r="174" spans="2:5">
      <c r="B174" s="172">
        <f t="shared" si="3"/>
        <v>2.7000000000000033</v>
      </c>
      <c r="C174" s="172">
        <f t="shared" si="0"/>
        <v>0.99653302619695938</v>
      </c>
      <c r="D174" s="168">
        <f t="shared" si="1"/>
        <v>0.93560251650328741</v>
      </c>
      <c r="E174" s="168">
        <f t="shared" si="2"/>
        <v>0.62785255035283183</v>
      </c>
    </row>
    <row r="175" spans="2:5">
      <c r="B175" s="172">
        <f t="shared" si="3"/>
        <v>2.8000000000000034</v>
      </c>
      <c r="C175" s="172">
        <f t="shared" si="0"/>
        <v>0.99744486966957213</v>
      </c>
      <c r="D175" s="168">
        <f t="shared" si="1"/>
        <v>0.94726249041045818</v>
      </c>
      <c r="E175" s="168">
        <f t="shared" si="2"/>
        <v>0.62379195859314218</v>
      </c>
    </row>
    <row r="176" spans="2:5">
      <c r="B176" s="172">
        <f t="shared" si="3"/>
        <v>2.9000000000000035</v>
      </c>
      <c r="C176" s="172">
        <f t="shared" si="0"/>
        <v>0.99813418669961596</v>
      </c>
      <c r="D176" s="168">
        <f t="shared" si="1"/>
        <v>0.95718106920158386</v>
      </c>
      <c r="E176" s="168">
        <f t="shared" si="2"/>
        <v>0.62028561533570858</v>
      </c>
    </row>
    <row r="177" spans="2:11">
      <c r="B177" s="172">
        <f t="shared" si="3"/>
        <v>3.0000000000000036</v>
      </c>
      <c r="C177" s="172">
        <f t="shared" ref="C177:C182" si="4">_xlfn.NORM.DIST(B177,0,1,1)</f>
        <v>0.9986501019683699</v>
      </c>
      <c r="D177" s="168">
        <f t="shared" ref="D177:D182" si="5">_xlfn.NORM.DIST(B177,$C$65,1,1)</f>
        <v>0.96553444432736968</v>
      </c>
      <c r="E177" s="168">
        <f t="shared" ref="E177:E182" si="6">$E$35*C177+$D$35*(1-D177)</f>
        <v>0.61729352768721912</v>
      </c>
    </row>
    <row r="178" spans="2:11">
      <c r="B178" s="172">
        <f>B177+0.1</f>
        <v>3.1000000000000036</v>
      </c>
      <c r="C178" s="172">
        <f t="shared" si="4"/>
        <v>0.99903239678678168</v>
      </c>
      <c r="D178" s="168">
        <f t="shared" si="5"/>
        <v>0.97249966995556558</v>
      </c>
      <c r="E178" s="168">
        <f t="shared" si="6"/>
        <v>0.61476971367227118</v>
      </c>
    </row>
    <row r="179" spans="2:11">
      <c r="B179" s="172">
        <f>B178+0.1</f>
        <v>3.2000000000000037</v>
      </c>
      <c r="C179" s="172">
        <f t="shared" si="4"/>
        <v>0.99931286206208414</v>
      </c>
      <c r="D179" s="168">
        <f t="shared" si="5"/>
        <v>0.97824968605504425</v>
      </c>
      <c r="E179" s="168">
        <f t="shared" si="6"/>
        <v>0.61266498855307061</v>
      </c>
    </row>
    <row r="180" spans="2:11">
      <c r="B180" s="172">
        <f>B179+0.1</f>
        <v>3.3000000000000038</v>
      </c>
      <c r="C180" s="172">
        <f t="shared" si="4"/>
        <v>0.99951657585761622</v>
      </c>
      <c r="D180" s="168">
        <f t="shared" si="5"/>
        <v>0.98294931530486285</v>
      </c>
      <c r="E180" s="168">
        <f t="shared" si="6"/>
        <v>0.61092932039782977</v>
      </c>
    </row>
    <row r="181" spans="2:11">
      <c r="B181" s="172">
        <f>B180+0.1</f>
        <v>3.4000000000000039</v>
      </c>
      <c r="C181" s="172">
        <f t="shared" si="4"/>
        <v>0.99966307073432314</v>
      </c>
      <c r="D181" s="168">
        <f t="shared" si="5"/>
        <v>0.98675224941570394</v>
      </c>
      <c r="E181" s="168">
        <f t="shared" si="6"/>
        <v>0.60951372768990941</v>
      </c>
    </row>
    <row r="182" spans="2:11">
      <c r="B182" s="172">
        <f>B181+0.1</f>
        <v>3.500000000000004</v>
      </c>
      <c r="C182" s="172">
        <f t="shared" si="4"/>
        <v>0.99976737092096446</v>
      </c>
      <c r="D182" s="168">
        <f t="shared" si="5"/>
        <v>0.9897989843225653</v>
      </c>
      <c r="E182" s="168">
        <f t="shared" si="6"/>
        <v>0.60837172295150865</v>
      </c>
    </row>
    <row r="185" spans="2:11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</row>
    <row r="186" spans="2:11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</row>
    <row r="187" spans="2:11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</row>
    <row r="188" spans="2:11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</row>
    <row r="189" spans="2:11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</row>
    <row r="190" spans="2:11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</row>
    <row r="191" spans="2:11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</row>
    <row r="192" spans="2:11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</row>
    <row r="193" spans="2:11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</row>
    <row r="194" spans="2:11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</row>
    <row r="195" spans="2:11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</row>
    <row r="196" spans="2:11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</row>
    <row r="197" spans="2:11">
      <c r="B197" s="195"/>
      <c r="C197" s="195"/>
      <c r="D197" s="195"/>
      <c r="E197" s="195" t="s">
        <v>853</v>
      </c>
      <c r="F197" s="195"/>
      <c r="G197" s="195"/>
      <c r="H197" s="195"/>
      <c r="I197" s="195"/>
      <c r="J197" s="195"/>
      <c r="K197" s="195"/>
    </row>
    <row r="198" spans="2:11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</row>
    <row r="199" spans="2:11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</row>
    <row r="200" spans="2:11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</row>
    <row r="201" spans="2:11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</row>
    <row r="202" spans="2:11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</row>
    <row r="203" spans="2:11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</row>
    <row r="204" spans="2:11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</row>
    <row r="205" spans="2:11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</row>
    <row r="206" spans="2:11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</row>
    <row r="207" spans="2:11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</row>
    <row r="208" spans="2:11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</row>
    <row r="209" spans="1:13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</row>
    <row r="210" spans="1:13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</row>
    <row r="211" spans="1:13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</row>
    <row r="214" spans="1:13">
      <c r="B214" s="6" t="s">
        <v>6</v>
      </c>
      <c r="C214" s="196" t="s">
        <v>855</v>
      </c>
      <c r="D214" s="196"/>
      <c r="E214" s="196"/>
      <c r="F214" s="196"/>
      <c r="G214" s="196"/>
      <c r="H214" s="196"/>
      <c r="I214" s="196"/>
      <c r="J214" s="196"/>
      <c r="K214" s="196"/>
    </row>
    <row r="215" spans="1:13">
      <c r="C215" s="196" t="s">
        <v>856</v>
      </c>
      <c r="D215" s="196"/>
      <c r="E215" s="196"/>
      <c r="F215" s="196"/>
      <c r="G215" s="196"/>
      <c r="H215" s="196"/>
      <c r="I215" s="196"/>
      <c r="J215" s="196"/>
      <c r="K215" s="196"/>
    </row>
    <row r="216" spans="1:13">
      <c r="C216" s="196" t="s">
        <v>857</v>
      </c>
      <c r="D216" s="196"/>
      <c r="E216" s="196"/>
      <c r="F216" s="196"/>
      <c r="G216" s="196"/>
      <c r="H216" s="196"/>
      <c r="I216" s="196"/>
      <c r="J216" s="196"/>
      <c r="K216" s="196"/>
    </row>
    <row r="217" spans="1:13">
      <c r="C217" s="196" t="s">
        <v>858</v>
      </c>
      <c r="D217" s="196"/>
      <c r="E217" s="196"/>
      <c r="F217" s="196"/>
      <c r="G217" s="196"/>
      <c r="H217" s="196"/>
      <c r="I217" s="196"/>
      <c r="J217" s="196"/>
      <c r="K217" s="196"/>
    </row>
    <row r="218" spans="1:13">
      <c r="C218" s="196"/>
      <c r="D218" s="196"/>
      <c r="E218" s="196"/>
      <c r="F218" s="196"/>
      <c r="G218" s="196"/>
      <c r="H218" s="196"/>
      <c r="I218" s="196"/>
      <c r="J218" s="196"/>
      <c r="K218" s="196"/>
    </row>
    <row r="222" spans="1:13">
      <c r="A222" s="24" t="s">
        <v>859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5" spans="1:13">
      <c r="B225" s="1"/>
      <c r="C225" s="1"/>
      <c r="D225" s="241" t="s">
        <v>785</v>
      </c>
      <c r="E225" s="241"/>
    </row>
    <row r="226" spans="1:13">
      <c r="B226" s="241" t="s">
        <v>860</v>
      </c>
      <c r="C226" s="241"/>
      <c r="D226" s="6" t="s">
        <v>786</v>
      </c>
      <c r="E226" s="6" t="s">
        <v>787</v>
      </c>
    </row>
    <row r="227" spans="1:13">
      <c r="B227" s="241" t="s">
        <v>788</v>
      </c>
      <c r="C227" s="6" t="s">
        <v>789</v>
      </c>
      <c r="D227" s="202">
        <f>D35*D53*D40</f>
        <v>962.686567164179</v>
      </c>
      <c r="E227" s="202">
        <f>E35*E53*E40</f>
        <v>-1156.7164179104477</v>
      </c>
    </row>
    <row r="228" spans="1:13">
      <c r="B228" s="241"/>
      <c r="C228" s="6" t="s">
        <v>792</v>
      </c>
      <c r="D228" s="202">
        <f>D35*D54*D41</f>
        <v>-149.25373134328359</v>
      </c>
      <c r="E228" s="202">
        <f>E35*E54*E41</f>
        <v>373.1343283582089</v>
      </c>
    </row>
    <row r="229" spans="1:13">
      <c r="B229" s="195"/>
      <c r="C229" s="6" t="s">
        <v>404</v>
      </c>
      <c r="D229" s="202">
        <f>SUM(D227:D228)</f>
        <v>813.43283582089543</v>
      </c>
      <c r="E229" s="202">
        <f>SUM(E227:E228)</f>
        <v>-783.58208955223881</v>
      </c>
    </row>
    <row r="233" spans="1:13">
      <c r="A233" s="24" t="s">
        <v>861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6" spans="1:13">
      <c r="B236" s="6" t="s">
        <v>862</v>
      </c>
      <c r="C236" s="203">
        <f>SUM(D227:E228)</f>
        <v>29.850746268656621</v>
      </c>
    </row>
    <row r="237" spans="1:13">
      <c r="B237" s="6" t="s">
        <v>832</v>
      </c>
      <c r="C237" s="203">
        <f>(E41-E40)/(D40-D41)*C66</f>
        <v>1.8339622641509434</v>
      </c>
    </row>
    <row r="238" spans="1:13">
      <c r="B238" s="6" t="s">
        <v>833</v>
      </c>
      <c r="C238" s="203">
        <f>LN(C237)/C65+C65/2</f>
        <v>1.1040383009253636</v>
      </c>
    </row>
    <row r="240" spans="1:13">
      <c r="B240" s="125" t="s">
        <v>835</v>
      </c>
      <c r="C240" s="196"/>
      <c r="D240" s="196"/>
      <c r="E240" s="196"/>
      <c r="F240" s="196"/>
      <c r="G240" s="196"/>
      <c r="H240" s="196"/>
      <c r="I240" s="196"/>
      <c r="J240" s="196"/>
      <c r="K240" s="196"/>
    </row>
    <row r="241" spans="1:13">
      <c r="C241" s="196"/>
      <c r="D241" s="196"/>
      <c r="E241" s="196"/>
      <c r="F241" s="196"/>
      <c r="G241" s="196" t="s">
        <v>863</v>
      </c>
      <c r="H241" s="196"/>
      <c r="I241" s="196"/>
      <c r="J241" s="196"/>
      <c r="K241" s="196"/>
    </row>
    <row r="242" spans="1:13">
      <c r="C242" s="196"/>
      <c r="D242" s="196"/>
      <c r="E242" s="196"/>
      <c r="F242" s="196"/>
      <c r="G242" s="196" t="s">
        <v>864</v>
      </c>
      <c r="H242" s="196"/>
      <c r="I242" s="196"/>
      <c r="J242" s="196"/>
      <c r="K242" s="196"/>
    </row>
    <row r="243" spans="1:13">
      <c r="C243" s="196"/>
      <c r="D243" s="196"/>
      <c r="E243" s="196"/>
      <c r="F243" s="196"/>
      <c r="G243" s="196" t="s">
        <v>865</v>
      </c>
      <c r="H243" s="196"/>
      <c r="I243" s="196"/>
      <c r="J243" s="196"/>
      <c r="K243" s="196"/>
    </row>
    <row r="244" spans="1:13">
      <c r="C244" s="196"/>
      <c r="D244" s="196"/>
      <c r="E244" s="196"/>
      <c r="F244" s="196"/>
      <c r="G244" s="196"/>
      <c r="H244" s="196"/>
      <c r="I244" s="196"/>
      <c r="J244" s="196"/>
      <c r="K244" s="196"/>
    </row>
    <row r="245" spans="1:13">
      <c r="C245" s="196"/>
      <c r="D245" s="196"/>
      <c r="E245" s="196"/>
      <c r="F245" s="196"/>
      <c r="G245" s="196"/>
      <c r="H245" s="196"/>
      <c r="I245" s="196"/>
      <c r="J245" s="196"/>
      <c r="K245" s="196"/>
    </row>
    <row r="249" spans="1:13">
      <c r="A249" s="24" t="s">
        <v>866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2" spans="1:13">
      <c r="B252" s="1"/>
      <c r="C252" s="1"/>
      <c r="D252" s="241" t="s">
        <v>785</v>
      </c>
      <c r="E252" s="241"/>
    </row>
    <row r="253" spans="1:13">
      <c r="B253" s="241" t="s">
        <v>867</v>
      </c>
      <c r="C253" s="241"/>
      <c r="D253" s="6" t="s">
        <v>786</v>
      </c>
      <c r="E253" s="6" t="s">
        <v>787</v>
      </c>
    </row>
    <row r="254" spans="1:13">
      <c r="B254" s="241" t="s">
        <v>788</v>
      </c>
      <c r="C254" s="6" t="s">
        <v>789</v>
      </c>
      <c r="D254" s="203">
        <f>1-D255</f>
        <v>0.53072429932804122</v>
      </c>
      <c r="E254" s="203">
        <f>1-E255</f>
        <v>0.13478826177965353</v>
      </c>
    </row>
    <row r="255" spans="1:13">
      <c r="B255" s="241"/>
      <c r="C255" s="6" t="s">
        <v>792</v>
      </c>
      <c r="D255" s="203">
        <f>_xlfn.NORM.DIST(C238,C65,1,TRUE)</f>
        <v>0.46927570067195873</v>
      </c>
      <c r="E255" s="203">
        <f>_xlfn.NORM.S.DIST(C238,TRUE)</f>
        <v>0.86521173822034647</v>
      </c>
    </row>
    <row r="256" spans="1:13">
      <c r="B256" s="195"/>
      <c r="C256" s="6" t="s">
        <v>404</v>
      </c>
      <c r="D256" s="203">
        <f>SUM(D254:D255)</f>
        <v>1</v>
      </c>
      <c r="E256" s="203">
        <f>SUM(E254:E255)</f>
        <v>1</v>
      </c>
    </row>
    <row r="260" spans="1:13">
      <c r="A260" s="24" t="s">
        <v>868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2" spans="1:13">
      <c r="B262" s="195" t="s">
        <v>869</v>
      </c>
      <c r="C262" s="6" t="s">
        <v>871</v>
      </c>
      <c r="D262" s="203">
        <f>D35*(D254*D40+D255*D41)+E35*(E254*E40+E255*E41)</f>
        <v>374.14062758969635</v>
      </c>
    </row>
    <row r="264" spans="1:13">
      <c r="B264" s="195" t="s">
        <v>870</v>
      </c>
      <c r="C264" s="6" t="s">
        <v>871</v>
      </c>
      <c r="D264" s="203">
        <f>D35*D40+E35*E40</f>
        <v>-1835.8208955223879</v>
      </c>
    </row>
    <row r="265" spans="1:13">
      <c r="B265" s="195" t="s">
        <v>846</v>
      </c>
      <c r="C265" s="6" t="s">
        <v>871</v>
      </c>
      <c r="D265" s="203">
        <f>D35*D41+E35*E41</f>
        <v>-186.56716417910445</v>
      </c>
    </row>
    <row r="269" spans="1:13">
      <c r="A269" s="24" t="s">
        <v>872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2" spans="1:13">
      <c r="B272" s="6" t="s">
        <v>693</v>
      </c>
      <c r="C272" s="6" t="s">
        <v>852</v>
      </c>
    </row>
    <row r="273" spans="2:3">
      <c r="B273" s="172">
        <v>-3.5</v>
      </c>
      <c r="C273" s="203">
        <f>$D$35*(D112*$D$41+(1-D112)*$D$40)+$E$35*(C112*$E$41+(1-C112)*$E$40)</f>
        <v>-1834.9800021584135</v>
      </c>
    </row>
    <row r="274" spans="2:3">
      <c r="B274" s="172">
        <f>B273+0.1</f>
        <v>-3.4</v>
      </c>
      <c r="C274" s="203">
        <f t="shared" ref="C274:C337" si="7">$D$35*(D113*$D$41+(1-D113)*$D$40)+$E$35*(C113*$E$41+(1-C113)*$E$40)</f>
        <v>-1834.6034712903809</v>
      </c>
    </row>
    <row r="275" spans="2:3">
      <c r="B275" s="172">
        <f t="shared" ref="B275:B338" si="8">B274+0.1</f>
        <v>-3.3</v>
      </c>
      <c r="C275" s="203">
        <f t="shared" si="7"/>
        <v>-1834.0749229024932</v>
      </c>
    </row>
    <row r="276" spans="2:3">
      <c r="B276" s="172">
        <f t="shared" si="8"/>
        <v>-3.1999999999999997</v>
      </c>
      <c r="C276" s="203">
        <f t="shared" si="7"/>
        <v>-1833.3404129550415</v>
      </c>
    </row>
    <row r="277" spans="2:3">
      <c r="B277" s="172">
        <f t="shared" si="8"/>
        <v>-3.0999999999999996</v>
      </c>
      <c r="C277" s="203">
        <f t="shared" si="7"/>
        <v>-1832.3299152476218</v>
      </c>
    </row>
    <row r="278" spans="2:3">
      <c r="B278" s="172">
        <f t="shared" si="8"/>
        <v>-2.9999999999999996</v>
      </c>
      <c r="C278" s="203">
        <f t="shared" si="7"/>
        <v>-1830.9536785160853</v>
      </c>
    </row>
    <row r="279" spans="2:3">
      <c r="B279" s="172">
        <f t="shared" si="8"/>
        <v>-2.8999999999999995</v>
      </c>
      <c r="C279" s="203">
        <f t="shared" si="7"/>
        <v>-1829.0981570985514</v>
      </c>
    </row>
    <row r="280" spans="2:3">
      <c r="B280" s="172">
        <f t="shared" si="8"/>
        <v>-2.7999999999999994</v>
      </c>
      <c r="C280" s="203">
        <f t="shared" si="7"/>
        <v>-1826.621601970583</v>
      </c>
    </row>
    <row r="281" spans="2:3">
      <c r="B281" s="172">
        <f t="shared" si="8"/>
        <v>-2.6999999999999993</v>
      </c>
      <c r="C281" s="203">
        <f t="shared" si="7"/>
        <v>-1823.3494560529691</v>
      </c>
    </row>
    <row r="282" spans="2:3">
      <c r="B282" s="172">
        <f t="shared" si="8"/>
        <v>-2.5999999999999992</v>
      </c>
      <c r="C282" s="203">
        <f t="shared" si="7"/>
        <v>-1819.0697638462798</v>
      </c>
    </row>
    <row r="283" spans="2:3">
      <c r="B283" s="172">
        <f t="shared" si="8"/>
        <v>-2.4999999999999991</v>
      </c>
      <c r="C283" s="203">
        <f t="shared" si="7"/>
        <v>-1813.5288777169449</v>
      </c>
    </row>
    <row r="284" spans="2:3">
      <c r="B284" s="172">
        <f t="shared" si="8"/>
        <v>-2.399999999999999</v>
      </c>
      <c r="C284" s="203">
        <f t="shared" si="7"/>
        <v>-1806.4278169578902</v>
      </c>
    </row>
    <row r="285" spans="2:3">
      <c r="B285" s="172">
        <f t="shared" si="8"/>
        <v>-2.2999999999999989</v>
      </c>
      <c r="C285" s="203">
        <f t="shared" si="7"/>
        <v>-1797.419704767738</v>
      </c>
    </row>
    <row r="286" spans="2:3">
      <c r="B286" s="172">
        <f t="shared" si="8"/>
        <v>-2.1999999999999988</v>
      </c>
      <c r="C286" s="203">
        <f t="shared" si="7"/>
        <v>-1786.1087646666076</v>
      </c>
    </row>
    <row r="287" spans="2:3">
      <c r="B287" s="172">
        <f t="shared" si="8"/>
        <v>-2.0999999999999988</v>
      </c>
      <c r="C287" s="203">
        <f t="shared" si="7"/>
        <v>-1772.0513925482367</v>
      </c>
    </row>
    <row r="288" spans="2:3">
      <c r="B288" s="172">
        <f t="shared" si="8"/>
        <v>-1.9999999999999987</v>
      </c>
      <c r="C288" s="203">
        <f t="shared" si="7"/>
        <v>-1754.7598239900976</v>
      </c>
    </row>
    <row r="289" spans="2:3">
      <c r="B289" s="172">
        <f t="shared" si="8"/>
        <v>-1.8999999999999986</v>
      </c>
      <c r="C289" s="203">
        <f t="shared" si="7"/>
        <v>-1733.7088794271892</v>
      </c>
    </row>
    <row r="290" spans="2:3">
      <c r="B290" s="172">
        <f t="shared" si="8"/>
        <v>-1.7999999999999985</v>
      </c>
      <c r="C290" s="203">
        <f t="shared" si="7"/>
        <v>-1708.3461846763632</v>
      </c>
    </row>
    <row r="291" spans="2:3">
      <c r="B291" s="172">
        <f t="shared" si="8"/>
        <v>-1.6999999999999984</v>
      </c>
      <c r="C291" s="203">
        <f t="shared" si="7"/>
        <v>-1678.1061261725254</v>
      </c>
    </row>
    <row r="292" spans="2:3">
      <c r="B292" s="172">
        <f t="shared" si="8"/>
        <v>-1.5999999999999983</v>
      </c>
      <c r="C292" s="203">
        <f t="shared" si="7"/>
        <v>-1642.4276082465217</v>
      </c>
    </row>
    <row r="293" spans="2:3">
      <c r="B293" s="172">
        <f t="shared" si="8"/>
        <v>-1.4999999999999982</v>
      </c>
      <c r="C293" s="203">
        <f t="shared" si="7"/>
        <v>-1600.7754380179915</v>
      </c>
    </row>
    <row r="294" spans="2:3">
      <c r="B294" s="172">
        <f t="shared" si="8"/>
        <v>-1.3999999999999981</v>
      </c>
      <c r="C294" s="203">
        <f t="shared" si="7"/>
        <v>-1552.6648819884656</v>
      </c>
    </row>
    <row r="295" spans="2:3">
      <c r="B295" s="172">
        <f t="shared" si="8"/>
        <v>-1.299999999999998</v>
      </c>
      <c r="C295" s="203">
        <f t="shared" si="7"/>
        <v>-1497.6886332204861</v>
      </c>
    </row>
    <row r="296" spans="2:3">
      <c r="B296" s="172">
        <f t="shared" si="8"/>
        <v>-1.199999999999998</v>
      </c>
      <c r="C296" s="203">
        <f t="shared" si="7"/>
        <v>-1435.5451206832442</v>
      </c>
    </row>
    <row r="297" spans="2:3">
      <c r="B297" s="172">
        <f t="shared" si="8"/>
        <v>-1.0999999999999979</v>
      </c>
      <c r="C297" s="203">
        <f t="shared" si="7"/>
        <v>-1366.0668089483486</v>
      </c>
    </row>
    <row r="298" spans="2:3">
      <c r="B298" s="172">
        <f t="shared" si="8"/>
        <v>-0.99999999999999789</v>
      </c>
      <c r="C298" s="203">
        <f t="shared" si="7"/>
        <v>-1289.2469054451865</v>
      </c>
    </row>
    <row r="299" spans="2:3">
      <c r="B299" s="172">
        <f t="shared" si="8"/>
        <v>-0.89999999999999791</v>
      </c>
      <c r="C299" s="203">
        <f t="shared" si="7"/>
        <v>-1205.2627424122697</v>
      </c>
    </row>
    <row r="300" spans="2:3">
      <c r="B300" s="172">
        <f t="shared" si="8"/>
        <v>-0.79999999999999793</v>
      </c>
      <c r="C300" s="203">
        <f t="shared" si="7"/>
        <v>-1114.4940569897803</v>
      </c>
    </row>
    <row r="301" spans="2:3">
      <c r="B301" s="172">
        <f t="shared" si="8"/>
        <v>-0.69999999999999796</v>
      </c>
      <c r="C301" s="203">
        <f t="shared" si="7"/>
        <v>-1017.5344749821418</v>
      </c>
    </row>
    <row r="302" spans="2:3">
      <c r="B302" s="172">
        <f t="shared" si="8"/>
        <v>-0.59999999999999798</v>
      </c>
      <c r="C302" s="203">
        <f t="shared" si="7"/>
        <v>-915.19472211745233</v>
      </c>
    </row>
    <row r="303" spans="2:3">
      <c r="B303" s="172">
        <f t="shared" si="8"/>
        <v>-0.499999999999998</v>
      </c>
      <c r="C303" s="203">
        <f t="shared" si="7"/>
        <v>-808.49644036712107</v>
      </c>
    </row>
    <row r="304" spans="2:3">
      <c r="B304" s="172">
        <f t="shared" si="8"/>
        <v>-0.39999999999999802</v>
      </c>
      <c r="C304" s="203">
        <f t="shared" si="7"/>
        <v>-698.6559627632314</v>
      </c>
    </row>
    <row r="305" spans="2:3">
      <c r="B305" s="172">
        <f t="shared" si="8"/>
        <v>-0.29999999999999805</v>
      </c>
      <c r="C305" s="203">
        <f t="shared" si="7"/>
        <v>-587.0579722491334</v>
      </c>
    </row>
    <row r="306" spans="2:3">
      <c r="B306" s="172">
        <f t="shared" si="8"/>
        <v>-0.19999999999999804</v>
      </c>
      <c r="C306" s="203">
        <f t="shared" si="7"/>
        <v>-475.2196011709467</v>
      </c>
    </row>
    <row r="307" spans="2:3">
      <c r="B307" s="172">
        <f t="shared" si="8"/>
        <v>-9.9999999999998035E-2</v>
      </c>
      <c r="C307" s="203">
        <f t="shared" si="7"/>
        <v>-364.74617210773488</v>
      </c>
    </row>
    <row r="308" spans="2:3">
      <c r="B308" s="172">
        <f t="shared" si="8"/>
        <v>1.9706458687096529E-15</v>
      </c>
      <c r="C308" s="203">
        <f t="shared" si="7"/>
        <v>-257.28038697691795</v>
      </c>
    </row>
    <row r="309" spans="2:3">
      <c r="B309" s="172">
        <f t="shared" si="8"/>
        <v>0.10000000000000198</v>
      </c>
      <c r="C309" s="203">
        <f t="shared" si="7"/>
        <v>-154.44728857153314</v>
      </c>
    </row>
    <row r="310" spans="2:3">
      <c r="B310" s="172">
        <f t="shared" si="8"/>
        <v>0.20000000000000198</v>
      </c>
      <c r="C310" s="203">
        <f t="shared" si="7"/>
        <v>-57.797700382322091</v>
      </c>
    </row>
    <row r="311" spans="2:3">
      <c r="B311" s="172">
        <f t="shared" si="8"/>
        <v>0.30000000000000199</v>
      </c>
      <c r="C311" s="203">
        <f t="shared" si="7"/>
        <v>31.246940348508701</v>
      </c>
    </row>
    <row r="312" spans="2:3">
      <c r="B312" s="172">
        <f t="shared" si="8"/>
        <v>0.40000000000000202</v>
      </c>
      <c r="C312" s="203">
        <f t="shared" si="7"/>
        <v>111.44542854165525</v>
      </c>
    </row>
    <row r="313" spans="2:3">
      <c r="B313" s="172">
        <f t="shared" si="8"/>
        <v>0.500000000000002</v>
      </c>
      <c r="C313" s="203">
        <f t="shared" si="7"/>
        <v>181.78057916563432</v>
      </c>
    </row>
    <row r="314" spans="2:3">
      <c r="B314" s="172">
        <f t="shared" si="8"/>
        <v>0.60000000000000198</v>
      </c>
      <c r="C314" s="203">
        <f t="shared" si="7"/>
        <v>241.49360455246944</v>
      </c>
    </row>
    <row r="315" spans="2:3">
      <c r="B315" s="172">
        <f t="shared" si="8"/>
        <v>0.70000000000000195</v>
      </c>
      <c r="C315" s="203">
        <f t="shared" si="7"/>
        <v>290.1072798675749</v>
      </c>
    </row>
    <row r="316" spans="2:3">
      <c r="B316" s="172">
        <f t="shared" si="8"/>
        <v>0.80000000000000193</v>
      </c>
      <c r="C316" s="203">
        <f t="shared" si="7"/>
        <v>327.43677212646497</v>
      </c>
    </row>
    <row r="317" spans="2:3">
      <c r="B317" s="172">
        <f t="shared" si="8"/>
        <v>0.90000000000000191</v>
      </c>
      <c r="C317" s="203">
        <f t="shared" si="7"/>
        <v>353.5877580711238</v>
      </c>
    </row>
    <row r="318" spans="2:3">
      <c r="B318" s="172">
        <f t="shared" si="8"/>
        <v>1.000000000000002</v>
      </c>
      <c r="C318" s="203">
        <f t="shared" si="7"/>
        <v>368.94222135842688</v>
      </c>
    </row>
    <row r="319" spans="2:3">
      <c r="B319" s="172">
        <f t="shared" si="8"/>
        <v>1.1000000000000021</v>
      </c>
      <c r="C319" s="203">
        <f t="shared" si="7"/>
        <v>374.13304139167099</v>
      </c>
    </row>
    <row r="320" spans="2:3">
      <c r="B320" s="172">
        <f t="shared" si="8"/>
        <v>1.2000000000000022</v>
      </c>
      <c r="C320" s="203">
        <f t="shared" si="7"/>
        <v>370.00911119947307</v>
      </c>
    </row>
    <row r="321" spans="2:3">
      <c r="B321" s="172">
        <f t="shared" si="8"/>
        <v>1.3000000000000023</v>
      </c>
      <c r="C321" s="203">
        <f t="shared" si="7"/>
        <v>357.5932061905076</v>
      </c>
    </row>
    <row r="322" spans="2:3">
      <c r="B322" s="172">
        <f t="shared" si="8"/>
        <v>1.4000000000000024</v>
      </c>
      <c r="C322" s="203">
        <f t="shared" si="7"/>
        <v>338.03513890114164</v>
      </c>
    </row>
    <row r="323" spans="2:3">
      <c r="B323" s="172">
        <f t="shared" si="8"/>
        <v>1.5000000000000024</v>
      </c>
      <c r="C323" s="203">
        <f t="shared" si="7"/>
        <v>312.56286207559543</v>
      </c>
    </row>
    <row r="324" spans="2:3">
      <c r="B324" s="172">
        <f t="shared" si="8"/>
        <v>1.6000000000000025</v>
      </c>
      <c r="C324" s="203">
        <f t="shared" si="7"/>
        <v>282.43412477530717</v>
      </c>
    </row>
    <row r="325" spans="2:3">
      <c r="B325" s="172">
        <f t="shared" si="8"/>
        <v>1.7000000000000026</v>
      </c>
      <c r="C325" s="203">
        <f t="shared" si="7"/>
        <v>248.89106000768871</v>
      </c>
    </row>
    <row r="326" spans="2:3">
      <c r="B326" s="172">
        <f t="shared" si="8"/>
        <v>1.8000000000000027</v>
      </c>
      <c r="C326" s="203">
        <f t="shared" si="7"/>
        <v>213.11971656620921</v>
      </c>
    </row>
    <row r="327" spans="2:3">
      <c r="B327" s="172">
        <f t="shared" si="8"/>
        <v>1.9000000000000028</v>
      </c>
      <c r="C327" s="203">
        <f t="shared" si="7"/>
        <v>176.21608053317499</v>
      </c>
    </row>
    <row r="328" spans="2:3">
      <c r="B328" s="172">
        <f t="shared" si="8"/>
        <v>2.0000000000000027</v>
      </c>
      <c r="C328" s="203">
        <f t="shared" si="7"/>
        <v>139.15960642746933</v>
      </c>
    </row>
    <row r="329" spans="2:3">
      <c r="B329" s="172">
        <f t="shared" si="8"/>
        <v>2.1000000000000028</v>
      </c>
      <c r="C329" s="203">
        <f t="shared" si="7"/>
        <v>102.79473829784354</v>
      </c>
    </row>
    <row r="330" spans="2:3">
      <c r="B330" s="172">
        <f t="shared" si="8"/>
        <v>2.2000000000000028</v>
      </c>
      <c r="C330" s="203">
        <f t="shared" si="7"/>
        <v>67.820388027560625</v>
      </c>
    </row>
    <row r="331" spans="2:3">
      <c r="B331" s="172">
        <f t="shared" si="8"/>
        <v>2.3000000000000029</v>
      </c>
      <c r="C331" s="203">
        <f t="shared" si="7"/>
        <v>34.78688615330941</v>
      </c>
    </row>
    <row r="332" spans="2:3">
      <c r="B332" s="172">
        <f t="shared" si="8"/>
        <v>2.400000000000003</v>
      </c>
      <c r="C332" s="203">
        <f t="shared" si="7"/>
        <v>4.0995552730195186</v>
      </c>
    </row>
    <row r="333" spans="2:3">
      <c r="B333" s="172">
        <f t="shared" si="8"/>
        <v>2.5000000000000031</v>
      </c>
      <c r="C333" s="203">
        <f t="shared" si="7"/>
        <v>-23.972206717569293</v>
      </c>
    </row>
    <row r="334" spans="2:3">
      <c r="B334" s="172">
        <f t="shared" si="8"/>
        <v>2.6000000000000032</v>
      </c>
      <c r="C334" s="203">
        <f t="shared" si="7"/>
        <v>-49.281601255457758</v>
      </c>
    </row>
    <row r="335" spans="2:3">
      <c r="B335" s="172">
        <f t="shared" si="8"/>
        <v>2.7000000000000033</v>
      </c>
      <c r="C335" s="203">
        <f t="shared" si="7"/>
        <v>-71.788180161559012</v>
      </c>
    </row>
    <row r="336" spans="2:3">
      <c r="B336" s="172">
        <f t="shared" si="8"/>
        <v>2.8000000000000034</v>
      </c>
      <c r="C336" s="203">
        <f t="shared" si="7"/>
        <v>-91.539949995219217</v>
      </c>
    </row>
    <row r="337" spans="2:11">
      <c r="B337" s="172">
        <f t="shared" si="8"/>
        <v>2.9000000000000035</v>
      </c>
      <c r="C337" s="203">
        <f t="shared" si="7"/>
        <v>-108.65498957019679</v>
      </c>
    </row>
    <row r="338" spans="2:11">
      <c r="B338" s="172">
        <f t="shared" si="8"/>
        <v>3.0000000000000036</v>
      </c>
      <c r="C338" s="203">
        <f t="shared" ref="C338:C343" si="9">$D$35*(D177*$D$41+(1-D177)*$D$40)+$E$35*(C177*$E$41+(1-C177)*$E$40)</f>
        <v>-123.30356858302378</v>
      </c>
    </row>
    <row r="339" spans="2:11">
      <c r="B339" s="172">
        <f>B338+0.1</f>
        <v>3.1000000000000036</v>
      </c>
      <c r="C339" s="203">
        <f t="shared" si="9"/>
        <v>-135.69154999887292</v>
      </c>
    </row>
    <row r="340" spans="2:11">
      <c r="B340" s="172">
        <f>B339+0.1</f>
        <v>3.2000000000000037</v>
      </c>
      <c r="C340" s="203">
        <f t="shared" si="9"/>
        <v>-146.04564061502856</v>
      </c>
    </row>
    <row r="341" spans="2:11">
      <c r="B341" s="172">
        <f>B340+0.1</f>
        <v>3.3000000000000038</v>
      </c>
      <c r="C341" s="203">
        <f t="shared" si="9"/>
        <v>-154.60084096259084</v>
      </c>
    </row>
    <row r="342" spans="2:11">
      <c r="B342" s="172">
        <f>B341+0.1</f>
        <v>3.4000000000000039</v>
      </c>
      <c r="C342" s="203">
        <f t="shared" si="9"/>
        <v>-161.59025162895887</v>
      </c>
    </row>
    <row r="343" spans="2:11">
      <c r="B343" s="172">
        <f>B342+0.1</f>
        <v>3.500000000000004</v>
      </c>
      <c r="C343" s="203">
        <f t="shared" si="9"/>
        <v>-167.23722819321699</v>
      </c>
    </row>
    <row r="345" spans="2:11"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</row>
    <row r="346" spans="2:11"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</row>
    <row r="347" spans="2:11">
      <c r="B347" s="195"/>
      <c r="C347" s="195"/>
      <c r="D347" s="195"/>
      <c r="E347" s="195"/>
      <c r="F347" s="195"/>
      <c r="G347" s="195"/>
      <c r="H347" s="195"/>
      <c r="I347" s="195"/>
      <c r="J347" s="195"/>
      <c r="K347" s="195"/>
    </row>
    <row r="348" spans="2:11">
      <c r="B348" s="195"/>
      <c r="C348" s="195"/>
      <c r="D348" s="195"/>
      <c r="E348" s="195"/>
      <c r="F348" s="195"/>
      <c r="G348" s="195"/>
      <c r="H348" s="195"/>
      <c r="I348" s="195"/>
      <c r="J348" s="195"/>
      <c r="K348" s="195"/>
    </row>
    <row r="349" spans="2:11">
      <c r="B349" s="195"/>
      <c r="C349" s="195"/>
      <c r="D349" s="195"/>
      <c r="E349" s="195"/>
      <c r="F349" s="195"/>
      <c r="G349" s="195"/>
      <c r="H349" s="195"/>
      <c r="I349" s="195"/>
      <c r="J349" s="195"/>
      <c r="K349" s="195"/>
    </row>
    <row r="350" spans="2:11">
      <c r="B350" s="195"/>
      <c r="C350" s="195"/>
      <c r="D350" s="195"/>
      <c r="E350" s="195"/>
      <c r="F350" s="195"/>
      <c r="G350" s="195"/>
      <c r="H350" s="195"/>
      <c r="I350" s="195"/>
      <c r="J350" s="195"/>
      <c r="K350" s="195"/>
    </row>
    <row r="351" spans="2:11">
      <c r="B351" s="195"/>
      <c r="C351" s="195"/>
      <c r="D351" s="195"/>
      <c r="E351" s="195"/>
      <c r="F351" s="195"/>
      <c r="G351" s="195"/>
      <c r="H351" s="195"/>
      <c r="I351" s="195"/>
      <c r="J351" s="195"/>
      <c r="K351" s="195"/>
    </row>
    <row r="352" spans="2:11"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</row>
    <row r="353" spans="2:11">
      <c r="B353" s="195"/>
      <c r="C353" s="195"/>
      <c r="D353" s="195"/>
      <c r="E353" s="195"/>
      <c r="F353" s="195"/>
      <c r="G353" s="195"/>
      <c r="H353" s="195"/>
      <c r="I353" s="195"/>
      <c r="J353" s="195"/>
      <c r="K353" s="195"/>
    </row>
    <row r="354" spans="2:11"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</row>
    <row r="355" spans="2:11"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</row>
    <row r="356" spans="2:11"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</row>
    <row r="357" spans="2:11">
      <c r="B357" s="195"/>
      <c r="C357" s="195"/>
      <c r="D357" s="195"/>
      <c r="E357" s="195" t="s">
        <v>853</v>
      </c>
      <c r="F357" s="195"/>
      <c r="G357" s="195"/>
      <c r="H357" s="195"/>
      <c r="I357" s="195"/>
      <c r="J357" s="195"/>
      <c r="K357" s="195"/>
    </row>
    <row r="358" spans="2:11"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</row>
    <row r="359" spans="2:11">
      <c r="B359" s="195"/>
      <c r="C359" s="195"/>
      <c r="D359" s="195"/>
      <c r="E359" s="195"/>
      <c r="F359" s="195"/>
      <c r="G359" s="195"/>
      <c r="H359" s="195"/>
      <c r="I359" s="195"/>
      <c r="J359" s="195"/>
      <c r="K359" s="195"/>
    </row>
    <row r="360" spans="2:11"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</row>
    <row r="361" spans="2:11">
      <c r="B361" s="195"/>
      <c r="C361" s="195"/>
      <c r="D361" s="195"/>
      <c r="E361" s="195"/>
      <c r="F361" s="195"/>
      <c r="G361" s="195"/>
      <c r="H361" s="195"/>
      <c r="I361" s="195"/>
      <c r="J361" s="195"/>
      <c r="K361" s="195"/>
    </row>
    <row r="362" spans="2:11">
      <c r="B362" s="195"/>
      <c r="C362" s="195"/>
      <c r="D362" s="195"/>
      <c r="E362" s="195"/>
      <c r="F362" s="195"/>
      <c r="G362" s="195"/>
      <c r="H362" s="195"/>
      <c r="I362" s="195"/>
      <c r="J362" s="195"/>
      <c r="K362" s="195"/>
    </row>
    <row r="363" spans="2:11">
      <c r="B363" s="195"/>
      <c r="C363" s="195"/>
      <c r="D363" s="195"/>
      <c r="E363" s="195"/>
      <c r="F363" s="195"/>
      <c r="G363" s="195"/>
      <c r="H363" s="195"/>
      <c r="I363" s="195"/>
      <c r="J363" s="195"/>
      <c r="K363" s="195"/>
    </row>
    <row r="364" spans="2:11"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</row>
    <row r="365" spans="2:11">
      <c r="B365" s="195"/>
      <c r="C365" s="195"/>
      <c r="D365" s="195"/>
      <c r="E365" s="195"/>
      <c r="F365" s="195"/>
      <c r="G365" s="195"/>
      <c r="H365" s="195"/>
      <c r="I365" s="195"/>
      <c r="J365" s="195"/>
      <c r="K365" s="195"/>
    </row>
    <row r="366" spans="2:11">
      <c r="B366" s="195"/>
      <c r="C366" s="195"/>
      <c r="D366" s="195"/>
      <c r="E366" s="195"/>
      <c r="F366" s="195"/>
      <c r="G366" s="195"/>
      <c r="H366" s="195"/>
      <c r="I366" s="195"/>
      <c r="J366" s="195"/>
      <c r="K366" s="195"/>
    </row>
    <row r="367" spans="2:11">
      <c r="B367" s="195"/>
      <c r="C367" s="195"/>
      <c r="D367" s="195"/>
      <c r="E367" s="195"/>
      <c r="F367" s="195"/>
      <c r="G367" s="195"/>
      <c r="H367" s="195"/>
      <c r="I367" s="195"/>
      <c r="J367" s="195"/>
      <c r="K367" s="195"/>
    </row>
    <row r="368" spans="2:11">
      <c r="B368" s="195"/>
      <c r="C368" s="195"/>
      <c r="D368" s="195"/>
      <c r="E368" s="195"/>
      <c r="F368" s="195"/>
      <c r="G368" s="195"/>
      <c r="H368" s="195"/>
      <c r="I368" s="195"/>
      <c r="J368" s="195"/>
      <c r="K368" s="195"/>
    </row>
    <row r="369" spans="2:11">
      <c r="B369" s="195"/>
      <c r="C369" s="195"/>
      <c r="D369" s="195"/>
      <c r="E369" s="195"/>
      <c r="F369" s="195"/>
      <c r="G369" s="195"/>
      <c r="H369" s="195"/>
      <c r="I369" s="195"/>
      <c r="J369" s="195"/>
      <c r="K369" s="195"/>
    </row>
    <row r="370" spans="2:11"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</row>
    <row r="371" spans="2:11">
      <c r="B371" s="195"/>
      <c r="C371" s="195"/>
      <c r="D371" s="195"/>
      <c r="E371" s="195"/>
      <c r="F371" s="195"/>
      <c r="G371" s="195"/>
      <c r="H371" s="195"/>
      <c r="I371" s="195"/>
      <c r="J371" s="195"/>
      <c r="K371" s="195"/>
    </row>
  </sheetData>
  <mergeCells count="22">
    <mergeCell ref="D24:E24"/>
    <mergeCell ref="B25:C25"/>
    <mergeCell ref="B26:B27"/>
    <mergeCell ref="D30:E30"/>
    <mergeCell ref="B31:C31"/>
    <mergeCell ref="B32:B33"/>
    <mergeCell ref="F156:L157"/>
    <mergeCell ref="D225:E225"/>
    <mergeCell ref="B226:C226"/>
    <mergeCell ref="D38:E38"/>
    <mergeCell ref="B39:C39"/>
    <mergeCell ref="B40:B41"/>
    <mergeCell ref="D51:E51"/>
    <mergeCell ref="B52:C52"/>
    <mergeCell ref="B53:B54"/>
    <mergeCell ref="B227:B228"/>
    <mergeCell ref="D252:E252"/>
    <mergeCell ref="B253:C253"/>
    <mergeCell ref="B254:B255"/>
    <mergeCell ref="D82:E82"/>
    <mergeCell ref="B83:C83"/>
    <mergeCell ref="B84:B85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97665" r:id="rId4">
          <objectPr defaultSize="0" autoPict="0" r:id="rId5">
            <anchor moveWithCells="1" sizeWithCells="1">
              <from>
                <xdr:col>5</xdr:col>
                <xdr:colOff>400050</xdr:colOff>
                <xdr:row>69</xdr:row>
                <xdr:rowOff>0</xdr:rowOff>
              </from>
              <to>
                <xdr:col>6</xdr:col>
                <xdr:colOff>542925</xdr:colOff>
                <xdr:row>73</xdr:row>
                <xdr:rowOff>0</xdr:rowOff>
              </to>
            </anchor>
          </objectPr>
        </oleObject>
      </mc:Choice>
      <mc:Fallback>
        <oleObject progId="Equation.DSMT4" shapeId="497665" r:id="rId4"/>
      </mc:Fallback>
    </mc:AlternateContent>
    <mc:AlternateContent xmlns:mc="http://schemas.openxmlformats.org/markup-compatibility/2006">
      <mc:Choice Requires="x14">
        <oleObject progId="Equation.DSMT4" shapeId="497680" r:id="rId6">
          <objectPr defaultSize="0" autoPict="0" r:id="rId7">
            <anchor moveWithCells="1" sizeWithCells="1">
              <from>
                <xdr:col>2</xdr:col>
                <xdr:colOff>152400</xdr:colOff>
                <xdr:row>239</xdr:row>
                <xdr:rowOff>66675</xdr:rowOff>
              </from>
              <to>
                <xdr:col>5</xdr:col>
                <xdr:colOff>352425</xdr:colOff>
                <xdr:row>244</xdr:row>
                <xdr:rowOff>76200</xdr:rowOff>
              </to>
            </anchor>
          </objectPr>
        </oleObject>
      </mc:Choice>
      <mc:Fallback>
        <oleObject progId="Equation.DSMT4" shapeId="497680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348"/>
  <sheetViews>
    <sheetView workbookViewId="0">
      <selection activeCell="N12" sqref="N12:N13"/>
    </sheetView>
  </sheetViews>
  <sheetFormatPr baseColWidth="10" defaultRowHeight="12.75"/>
  <cols>
    <col min="2" max="2" width="14.85546875" customWidth="1"/>
    <col min="3" max="3" width="14.28515625" bestFit="1" customWidth="1"/>
    <col min="4" max="4" width="14" bestFit="1" customWidth="1"/>
  </cols>
  <sheetData>
    <row r="1" spans="1:53" s="10" customFormat="1" ht="20.25">
      <c r="A1" s="10" t="s">
        <v>938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884</v>
      </c>
    </row>
    <row r="9" spans="1:53">
      <c r="B9" s="6" t="s">
        <v>707</v>
      </c>
      <c r="C9" s="6" t="s">
        <v>800</v>
      </c>
      <c r="D9" s="6" t="s">
        <v>801</v>
      </c>
      <c r="E9" s="6" t="s">
        <v>802</v>
      </c>
    </row>
    <row r="10" spans="1:53">
      <c r="B10" s="195">
        <v>1</v>
      </c>
      <c r="C10" s="196">
        <v>0.34</v>
      </c>
      <c r="D10" s="196">
        <v>0.64</v>
      </c>
      <c r="E10" s="195" t="s">
        <v>803</v>
      </c>
    </row>
    <row r="11" spans="1:53">
      <c r="B11" s="195">
        <f t="shared" ref="B11:B29" si="0">B10+1</f>
        <v>2</v>
      </c>
      <c r="C11" s="196">
        <v>0.4</v>
      </c>
      <c r="D11" s="196">
        <v>0.7</v>
      </c>
      <c r="E11" s="195" t="s">
        <v>803</v>
      </c>
    </row>
    <row r="12" spans="1:53">
      <c r="B12" s="195">
        <f t="shared" si="0"/>
        <v>3</v>
      </c>
      <c r="C12" s="196">
        <v>0.27</v>
      </c>
      <c r="D12" s="196">
        <v>0.72</v>
      </c>
      <c r="E12" s="195" t="s">
        <v>803</v>
      </c>
    </row>
    <row r="13" spans="1:53">
      <c r="B13" s="195">
        <f t="shared" si="0"/>
        <v>4</v>
      </c>
      <c r="C13" s="196">
        <v>0.36</v>
      </c>
      <c r="D13" s="196">
        <v>0.74</v>
      </c>
      <c r="E13" s="195" t="s">
        <v>803</v>
      </c>
    </row>
    <row r="14" spans="1:53">
      <c r="B14" s="195">
        <f t="shared" si="0"/>
        <v>5</v>
      </c>
      <c r="C14" s="196">
        <v>0.38</v>
      </c>
      <c r="D14" s="196">
        <v>0.82</v>
      </c>
      <c r="E14" s="195" t="s">
        <v>803</v>
      </c>
    </row>
    <row r="15" spans="1:53">
      <c r="B15" s="195">
        <f t="shared" si="0"/>
        <v>6</v>
      </c>
      <c r="C15" s="196">
        <v>0.48</v>
      </c>
      <c r="D15" s="196">
        <v>0.82</v>
      </c>
      <c r="E15" s="195" t="s">
        <v>803</v>
      </c>
    </row>
    <row r="16" spans="1:53">
      <c r="B16" s="195">
        <f t="shared" si="0"/>
        <v>7</v>
      </c>
      <c r="C16" s="196">
        <v>0.44</v>
      </c>
      <c r="D16" s="196">
        <v>0.84</v>
      </c>
      <c r="E16" s="195" t="s">
        <v>803</v>
      </c>
    </row>
    <row r="17" spans="2:10">
      <c r="B17" s="195">
        <f t="shared" si="0"/>
        <v>8</v>
      </c>
      <c r="C17" s="196">
        <v>0.38</v>
      </c>
      <c r="D17" s="196">
        <v>0.9</v>
      </c>
      <c r="E17" s="195" t="s">
        <v>803</v>
      </c>
    </row>
    <row r="18" spans="2:10">
      <c r="B18" s="195">
        <f t="shared" si="0"/>
        <v>9</v>
      </c>
      <c r="C18" s="196">
        <v>0.38</v>
      </c>
      <c r="D18" s="196">
        <v>0.79</v>
      </c>
      <c r="E18" s="195" t="s">
        <v>803</v>
      </c>
    </row>
    <row r="19" spans="2:10">
      <c r="B19" s="195">
        <f t="shared" si="0"/>
        <v>10</v>
      </c>
      <c r="C19" s="207">
        <v>0.46</v>
      </c>
      <c r="D19" s="207">
        <v>1.08</v>
      </c>
      <c r="E19" s="195" t="s">
        <v>803</v>
      </c>
    </row>
    <row r="20" spans="2:10">
      <c r="B20" s="205">
        <f t="shared" si="0"/>
        <v>11</v>
      </c>
      <c r="C20" s="74">
        <v>0.22</v>
      </c>
      <c r="D20" s="74">
        <v>0.81</v>
      </c>
      <c r="E20" s="205" t="s">
        <v>804</v>
      </c>
    </row>
    <row r="21" spans="2:10">
      <c r="B21" s="195">
        <f t="shared" si="0"/>
        <v>12</v>
      </c>
      <c r="C21" s="196">
        <v>0.2</v>
      </c>
      <c r="D21" s="196">
        <v>0.86</v>
      </c>
      <c r="E21" s="195" t="s">
        <v>804</v>
      </c>
    </row>
    <row r="22" spans="2:10">
      <c r="B22" s="195">
        <f t="shared" si="0"/>
        <v>13</v>
      </c>
      <c r="C22" s="196">
        <v>0.18</v>
      </c>
      <c r="D22" s="196">
        <v>0.96</v>
      </c>
      <c r="E22" s="195" t="s">
        <v>804</v>
      </c>
    </row>
    <row r="23" spans="2:10">
      <c r="B23" s="195">
        <f t="shared" si="0"/>
        <v>14</v>
      </c>
      <c r="C23" s="196">
        <v>0.3</v>
      </c>
      <c r="D23" s="196">
        <v>0.98</v>
      </c>
      <c r="E23" s="195" t="s">
        <v>804</v>
      </c>
    </row>
    <row r="24" spans="2:10">
      <c r="B24" s="195">
        <f t="shared" si="0"/>
        <v>15</v>
      </c>
      <c r="C24" s="196">
        <v>0.26</v>
      </c>
      <c r="D24" s="196">
        <v>1</v>
      </c>
      <c r="E24" s="195" t="s">
        <v>804</v>
      </c>
    </row>
    <row r="25" spans="2:10">
      <c r="B25" s="195">
        <f t="shared" si="0"/>
        <v>16</v>
      </c>
      <c r="C25" s="196">
        <v>0.28000000000000003</v>
      </c>
      <c r="D25" s="196">
        <v>1</v>
      </c>
      <c r="E25" s="195" t="s">
        <v>804</v>
      </c>
    </row>
    <row r="26" spans="2:10">
      <c r="B26" s="195">
        <f t="shared" si="0"/>
        <v>17</v>
      </c>
      <c r="C26" s="196">
        <v>0.39</v>
      </c>
      <c r="D26" s="196">
        <v>1.2</v>
      </c>
      <c r="E26" s="195" t="s">
        <v>804</v>
      </c>
    </row>
    <row r="27" spans="2:10">
      <c r="B27" s="195">
        <f t="shared" si="0"/>
        <v>18</v>
      </c>
      <c r="C27" s="196">
        <v>0.44</v>
      </c>
      <c r="D27" s="196">
        <v>1.1399999999999999</v>
      </c>
      <c r="E27" s="195" t="s">
        <v>804</v>
      </c>
    </row>
    <row r="28" spans="2:10">
      <c r="B28" s="195">
        <f t="shared" si="0"/>
        <v>19</v>
      </c>
      <c r="C28" s="196">
        <v>0.34</v>
      </c>
      <c r="D28" s="196">
        <v>1.1599999999999999</v>
      </c>
      <c r="E28" s="195" t="s">
        <v>804</v>
      </c>
    </row>
    <row r="29" spans="2:10">
      <c r="B29" s="195">
        <f t="shared" si="0"/>
        <v>20</v>
      </c>
      <c r="C29" s="196">
        <v>0.25</v>
      </c>
      <c r="D29" s="196">
        <v>0.88</v>
      </c>
      <c r="E29" s="195" t="s">
        <v>804</v>
      </c>
    </row>
    <row r="31" spans="2:10">
      <c r="B31" s="6" t="s">
        <v>874</v>
      </c>
      <c r="C31" s="201">
        <v>45</v>
      </c>
      <c r="D31" s="195" t="s">
        <v>875</v>
      </c>
      <c r="E31" s="195"/>
      <c r="F31" s="195"/>
      <c r="G31" s="195"/>
      <c r="H31" s="195"/>
      <c r="I31" s="195"/>
      <c r="J31" s="195"/>
    </row>
    <row r="35" spans="1:13" ht="15.75">
      <c r="A35" s="15" t="s">
        <v>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8" spans="1:13">
      <c r="A38" s="24" t="s">
        <v>873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41" spans="1:13">
      <c r="C41" s="6" t="str">
        <f>C9</f>
        <v>Fühlerlänge: x</v>
      </c>
      <c r="D41" s="6" t="str">
        <f>D9</f>
        <v>Flügellänge: y</v>
      </c>
    </row>
    <row r="42" spans="1:13">
      <c r="B42" s="6" t="s">
        <v>328</v>
      </c>
      <c r="C42" s="168">
        <f>AVERAGE(C10:C29)</f>
        <v>0.33749999999999997</v>
      </c>
      <c r="D42" s="168">
        <f>AVERAGE(D10:D29)</f>
        <v>0.90199999999999991</v>
      </c>
    </row>
    <row r="43" spans="1:13">
      <c r="B43" s="6" t="s">
        <v>396</v>
      </c>
      <c r="C43" s="168">
        <f>_xlfn.STDEV.P(C10:C29)</f>
        <v>8.6421930087218393E-2</v>
      </c>
      <c r="D43" s="168">
        <f>_xlfn.STDEV.P(D10:D29)</f>
        <v>0.15519664944836897</v>
      </c>
    </row>
    <row r="45" spans="1:13">
      <c r="B45" s="6" t="s">
        <v>707</v>
      </c>
      <c r="C45" s="6" t="s">
        <v>566</v>
      </c>
      <c r="D45" s="6" t="s">
        <v>616</v>
      </c>
      <c r="E45" s="6" t="s">
        <v>802</v>
      </c>
    </row>
    <row r="46" spans="1:13">
      <c r="B46" s="195">
        <v>1</v>
      </c>
      <c r="C46" s="168">
        <f t="shared" ref="C46:D65" si="1">STANDARDIZE(C10,C$42,C$43)</f>
        <v>2.8927842707019129E-2</v>
      </c>
      <c r="D46" s="168">
        <f t="shared" si="1"/>
        <v>-1.6881807753663034</v>
      </c>
      <c r="E46" s="195" t="s">
        <v>803</v>
      </c>
    </row>
    <row r="47" spans="1:13">
      <c r="B47" s="195">
        <f t="shared" ref="B47:B65" si="2">B46+1</f>
        <v>2</v>
      </c>
      <c r="C47" s="168">
        <f t="shared" si="1"/>
        <v>0.72319606767546218</v>
      </c>
      <c r="D47" s="168">
        <f t="shared" si="1"/>
        <v>-1.3015744909312723</v>
      </c>
      <c r="E47" s="195" t="s">
        <v>803</v>
      </c>
    </row>
    <row r="48" spans="1:13">
      <c r="B48" s="195">
        <f t="shared" si="2"/>
        <v>3</v>
      </c>
      <c r="C48" s="168">
        <f t="shared" si="1"/>
        <v>-0.78105175308949792</v>
      </c>
      <c r="D48" s="168">
        <f t="shared" si="1"/>
        <v>-1.1727057294529284</v>
      </c>
      <c r="E48" s="195" t="s">
        <v>803</v>
      </c>
    </row>
    <row r="49" spans="2:5">
      <c r="B49" s="195">
        <f t="shared" si="2"/>
        <v>4</v>
      </c>
      <c r="C49" s="168">
        <f t="shared" si="1"/>
        <v>0.26035058436316638</v>
      </c>
      <c r="D49" s="168">
        <f t="shared" si="1"/>
        <v>-1.0438369679745845</v>
      </c>
      <c r="E49" s="195" t="s">
        <v>803</v>
      </c>
    </row>
    <row r="50" spans="2:5">
      <c r="B50" s="195">
        <f t="shared" si="2"/>
        <v>5</v>
      </c>
      <c r="C50" s="168">
        <f t="shared" si="1"/>
        <v>0.49177332601931428</v>
      </c>
      <c r="D50" s="168">
        <f t="shared" si="1"/>
        <v>-0.52836192206120935</v>
      </c>
      <c r="E50" s="195" t="s">
        <v>803</v>
      </c>
    </row>
    <row r="51" spans="2:5">
      <c r="B51" s="195">
        <f t="shared" si="2"/>
        <v>6</v>
      </c>
      <c r="C51" s="168">
        <f t="shared" si="1"/>
        <v>1.6488870343000526</v>
      </c>
      <c r="D51" s="168">
        <f t="shared" si="1"/>
        <v>-0.52836192206120935</v>
      </c>
      <c r="E51" s="195" t="s">
        <v>803</v>
      </c>
    </row>
    <row r="52" spans="2:5">
      <c r="B52" s="195">
        <f t="shared" si="2"/>
        <v>7</v>
      </c>
      <c r="C52" s="168">
        <f t="shared" si="1"/>
        <v>1.1860415509877573</v>
      </c>
      <c r="D52" s="168">
        <f t="shared" si="1"/>
        <v>-0.39949316058286544</v>
      </c>
      <c r="E52" s="195" t="s">
        <v>803</v>
      </c>
    </row>
    <row r="53" spans="2:5">
      <c r="B53" s="195">
        <f t="shared" si="2"/>
        <v>8</v>
      </c>
      <c r="C53" s="168">
        <f t="shared" si="1"/>
        <v>0.49177332601931428</v>
      </c>
      <c r="D53" s="168">
        <f t="shared" si="1"/>
        <v>-1.2886876147833678E-2</v>
      </c>
      <c r="E53" s="195" t="s">
        <v>803</v>
      </c>
    </row>
    <row r="54" spans="2:5">
      <c r="B54" s="195">
        <f t="shared" si="2"/>
        <v>9</v>
      </c>
      <c r="C54" s="168">
        <f t="shared" si="1"/>
        <v>0.49177332601931428</v>
      </c>
      <c r="D54" s="168">
        <f t="shared" si="1"/>
        <v>-0.72166506427872457</v>
      </c>
      <c r="E54" s="195" t="s">
        <v>803</v>
      </c>
    </row>
    <row r="55" spans="2:5">
      <c r="B55" s="195">
        <f t="shared" si="2"/>
        <v>10</v>
      </c>
      <c r="C55" s="204">
        <f t="shared" si="1"/>
        <v>1.4174642926439052</v>
      </c>
      <c r="D55" s="204">
        <f t="shared" si="1"/>
        <v>1.146931977157261</v>
      </c>
      <c r="E55" s="195" t="s">
        <v>803</v>
      </c>
    </row>
    <row r="56" spans="2:5">
      <c r="B56" s="205">
        <f t="shared" si="2"/>
        <v>11</v>
      </c>
      <c r="C56" s="206">
        <f t="shared" si="1"/>
        <v>-1.3596086072298674</v>
      </c>
      <c r="D56" s="206">
        <f t="shared" si="1"/>
        <v>-0.59279630280038065</v>
      </c>
      <c r="E56" s="205" t="s">
        <v>804</v>
      </c>
    </row>
    <row r="57" spans="2:5">
      <c r="B57" s="195">
        <f t="shared" si="2"/>
        <v>12</v>
      </c>
      <c r="C57" s="168">
        <f t="shared" si="1"/>
        <v>-1.5910313488860148</v>
      </c>
      <c r="D57" s="168">
        <f t="shared" si="1"/>
        <v>-0.27062439910452152</v>
      </c>
      <c r="E57" s="195" t="s">
        <v>804</v>
      </c>
    </row>
    <row r="58" spans="2:5">
      <c r="B58" s="195">
        <f t="shared" si="2"/>
        <v>13</v>
      </c>
      <c r="C58" s="168">
        <f t="shared" si="1"/>
        <v>-1.8224540905421629</v>
      </c>
      <c r="D58" s="168">
        <f t="shared" si="1"/>
        <v>0.37371940828719741</v>
      </c>
      <c r="E58" s="195" t="s">
        <v>804</v>
      </c>
    </row>
    <row r="59" spans="2:5">
      <c r="B59" s="195">
        <f t="shared" si="2"/>
        <v>14</v>
      </c>
      <c r="C59" s="168">
        <f t="shared" si="1"/>
        <v>-0.43391764060527666</v>
      </c>
      <c r="D59" s="168">
        <f t="shared" si="1"/>
        <v>0.50258816976554133</v>
      </c>
      <c r="E59" s="195" t="s">
        <v>804</v>
      </c>
    </row>
    <row r="60" spans="2:5">
      <c r="B60" s="195">
        <f t="shared" si="2"/>
        <v>15</v>
      </c>
      <c r="C60" s="168">
        <f t="shared" si="1"/>
        <v>-0.89676312391757185</v>
      </c>
      <c r="D60" s="168">
        <f t="shared" si="1"/>
        <v>0.63145693124388524</v>
      </c>
      <c r="E60" s="195" t="s">
        <v>804</v>
      </c>
    </row>
    <row r="61" spans="2:5">
      <c r="B61" s="195">
        <f t="shared" si="2"/>
        <v>16</v>
      </c>
      <c r="C61" s="168">
        <f t="shared" si="1"/>
        <v>-0.66534038226142389</v>
      </c>
      <c r="D61" s="168">
        <f t="shared" si="1"/>
        <v>0.63145693124388524</v>
      </c>
      <c r="E61" s="195" t="s">
        <v>804</v>
      </c>
    </row>
    <row r="62" spans="2:5">
      <c r="B62" s="195">
        <f t="shared" si="2"/>
        <v>17</v>
      </c>
      <c r="C62" s="168">
        <f t="shared" si="1"/>
        <v>0.60748469684738826</v>
      </c>
      <c r="D62" s="168">
        <f t="shared" si="1"/>
        <v>1.920144546027323</v>
      </c>
      <c r="E62" s="195" t="s">
        <v>804</v>
      </c>
    </row>
    <row r="63" spans="2:5">
      <c r="B63" s="195">
        <f t="shared" si="2"/>
        <v>18</v>
      </c>
      <c r="C63" s="168">
        <f t="shared" si="1"/>
        <v>1.1860415509877573</v>
      </c>
      <c r="D63" s="168">
        <f t="shared" si="1"/>
        <v>1.5335382615922912</v>
      </c>
      <c r="E63" s="195" t="s">
        <v>804</v>
      </c>
    </row>
    <row r="64" spans="2:5">
      <c r="B64" s="195">
        <f t="shared" si="2"/>
        <v>19</v>
      </c>
      <c r="C64" s="168">
        <f t="shared" si="1"/>
        <v>2.8927842707019129E-2</v>
      </c>
      <c r="D64" s="168">
        <f t="shared" si="1"/>
        <v>1.6624070230706351</v>
      </c>
      <c r="E64" s="195" t="s">
        <v>804</v>
      </c>
    </row>
    <row r="65" spans="1:13">
      <c r="B65" s="195">
        <f t="shared" si="2"/>
        <v>20</v>
      </c>
      <c r="C65" s="168">
        <f t="shared" si="1"/>
        <v>-1.0124744947456459</v>
      </c>
      <c r="D65" s="168">
        <f t="shared" si="1"/>
        <v>-0.1417556376261776</v>
      </c>
      <c r="E65" s="195" t="s">
        <v>804</v>
      </c>
    </row>
    <row r="69" spans="1:13">
      <c r="A69" s="24" t="s">
        <v>890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2" spans="1:13">
      <c r="B72" s="195"/>
      <c r="C72" s="195"/>
      <c r="D72" s="195"/>
      <c r="E72" s="195"/>
      <c r="F72" s="195"/>
      <c r="G72" s="21"/>
      <c r="H72" s="21"/>
      <c r="I72" s="21"/>
      <c r="J72" s="21"/>
    </row>
    <row r="73" spans="1:13">
      <c r="B73" s="195"/>
      <c r="C73" s="195"/>
      <c r="D73" s="195"/>
      <c r="E73" s="195"/>
      <c r="F73" s="195"/>
      <c r="G73" s="21"/>
      <c r="H73" s="21"/>
      <c r="I73" s="21"/>
      <c r="J73" s="21"/>
    </row>
    <row r="74" spans="1:13">
      <c r="B74" s="195"/>
      <c r="C74" s="195"/>
      <c r="D74" s="195"/>
      <c r="E74" s="195"/>
      <c r="F74" s="195"/>
      <c r="G74" s="21"/>
      <c r="H74" s="21"/>
      <c r="I74" s="21"/>
      <c r="J74" s="21"/>
    </row>
    <row r="75" spans="1:13">
      <c r="B75" s="195"/>
      <c r="C75" s="195"/>
      <c r="D75" s="195"/>
      <c r="E75" s="195"/>
      <c r="F75" s="195"/>
      <c r="G75" s="21"/>
      <c r="H75" s="21"/>
      <c r="I75" s="21"/>
      <c r="J75" s="21"/>
    </row>
    <row r="76" spans="1:13">
      <c r="B76" s="195"/>
      <c r="C76" s="195"/>
      <c r="D76" s="195"/>
      <c r="E76" s="195"/>
      <c r="F76" s="195"/>
      <c r="G76" s="21"/>
      <c r="H76" s="21"/>
      <c r="I76" s="21"/>
      <c r="J76" s="21"/>
    </row>
    <row r="77" spans="1:13">
      <c r="B77" s="195"/>
      <c r="C77" s="195"/>
      <c r="D77" s="195"/>
      <c r="E77" s="195"/>
      <c r="F77" s="195"/>
      <c r="G77" s="21"/>
      <c r="H77" s="21"/>
      <c r="I77" s="21"/>
      <c r="J77" s="21"/>
    </row>
    <row r="78" spans="1:13">
      <c r="B78" s="195"/>
      <c r="C78" s="195"/>
      <c r="D78" s="195"/>
      <c r="E78" s="195"/>
      <c r="F78" s="195"/>
      <c r="G78" s="21"/>
      <c r="H78" s="21"/>
      <c r="I78" s="21"/>
      <c r="J78" s="21"/>
    </row>
    <row r="79" spans="1:13">
      <c r="B79" s="195"/>
      <c r="C79" s="195"/>
      <c r="D79" s="195"/>
      <c r="E79" s="195" t="s">
        <v>891</v>
      </c>
      <c r="F79" s="195"/>
      <c r="G79" s="21"/>
      <c r="H79" s="21"/>
      <c r="I79" s="21"/>
      <c r="J79" s="21"/>
    </row>
    <row r="80" spans="1:13">
      <c r="B80" s="195"/>
      <c r="C80" s="195"/>
      <c r="D80" s="195"/>
      <c r="E80" s="195"/>
      <c r="F80" s="195"/>
      <c r="G80" s="21"/>
      <c r="H80" s="21"/>
      <c r="I80" s="21"/>
      <c r="J80" s="21"/>
    </row>
    <row r="81" spans="1:13">
      <c r="B81" s="195"/>
      <c r="C81" s="195"/>
      <c r="D81" s="195"/>
      <c r="E81" s="195"/>
      <c r="F81" s="195"/>
      <c r="G81" s="21"/>
      <c r="H81" s="21"/>
      <c r="I81" s="21"/>
      <c r="J81" s="21"/>
    </row>
    <row r="82" spans="1:13">
      <c r="B82" s="195"/>
      <c r="C82" s="195"/>
      <c r="D82" s="195"/>
      <c r="E82" s="195"/>
      <c r="F82" s="195"/>
      <c r="G82" s="21"/>
      <c r="H82" s="21"/>
      <c r="I82" s="21"/>
      <c r="J82" s="21"/>
    </row>
    <row r="83" spans="1:13">
      <c r="B83" s="195"/>
      <c r="C83" s="195"/>
      <c r="D83" s="195"/>
      <c r="E83" s="195"/>
      <c r="F83" s="195"/>
      <c r="G83" s="21"/>
      <c r="H83" s="21"/>
      <c r="I83" s="21"/>
      <c r="J83" s="21"/>
    </row>
    <row r="84" spans="1:13">
      <c r="B84" s="195"/>
      <c r="C84" s="195"/>
      <c r="D84" s="195"/>
      <c r="E84" s="195"/>
      <c r="F84" s="195"/>
      <c r="G84" s="21"/>
      <c r="H84" s="21"/>
      <c r="I84" s="21"/>
      <c r="J84" s="21"/>
    </row>
    <row r="85" spans="1:13">
      <c r="B85" s="195"/>
      <c r="C85" s="195"/>
      <c r="D85" s="195"/>
      <c r="E85" s="195"/>
      <c r="F85" s="195"/>
      <c r="G85" s="21"/>
      <c r="H85" s="21"/>
      <c r="I85" s="21"/>
      <c r="J85" s="21"/>
    </row>
    <row r="86" spans="1:13">
      <c r="B86" s="195"/>
      <c r="C86" s="195"/>
      <c r="D86" s="195"/>
      <c r="E86" s="195"/>
      <c r="F86" s="195"/>
      <c r="G86" s="21"/>
      <c r="H86" s="21"/>
      <c r="I86" s="21"/>
      <c r="J86" s="21"/>
    </row>
    <row r="90" spans="1:13">
      <c r="A90" s="24" t="s">
        <v>876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3" spans="1:13">
      <c r="B93" s="6" t="s">
        <v>877</v>
      </c>
      <c r="C93" s="168">
        <f>COS(RADIANS(C31))</f>
        <v>0.70710678118654757</v>
      </c>
    </row>
    <row r="94" spans="1:13">
      <c r="B94" s="6" t="s">
        <v>878</v>
      </c>
      <c r="C94" s="168">
        <f>-SIN(RADIANS(C31))</f>
        <v>-0.70710678118654746</v>
      </c>
    </row>
    <row r="98" spans="1:13">
      <c r="A98" s="24" t="s">
        <v>879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101" spans="1:13">
      <c r="B101" s="6" t="s">
        <v>707</v>
      </c>
      <c r="C101" s="6" t="s">
        <v>880</v>
      </c>
      <c r="D101" s="6" t="s">
        <v>881</v>
      </c>
      <c r="E101" s="6" t="s">
        <v>802</v>
      </c>
    </row>
    <row r="102" spans="1:13">
      <c r="B102" s="195">
        <v>1</v>
      </c>
      <c r="C102" s="168">
        <f>$C$93*C46+$C$94*D46</f>
        <v>1.2141791478735078</v>
      </c>
      <c r="D102" s="168">
        <f t="shared" ref="D102:D121" si="3">-$C$94*C46+$C$93*D46</f>
        <v>-1.1732690003870458</v>
      </c>
      <c r="E102" s="195" t="s">
        <v>803</v>
      </c>
    </row>
    <row r="103" spans="1:13">
      <c r="B103" s="195">
        <f t="shared" ref="B103:B121" si="4">B102+1</f>
        <v>2</v>
      </c>
      <c r="C103" s="168">
        <f t="shared" ref="C103:C121" si="5">$C$93*C47+$C$94*D47</f>
        <v>1.4317289923376957</v>
      </c>
      <c r="D103" s="168">
        <f t="shared" si="3"/>
        <v>-0.40897530517616654</v>
      </c>
      <c r="E103" s="195" t="s">
        <v>803</v>
      </c>
    </row>
    <row r="104" spans="1:13">
      <c r="B104" s="195">
        <f t="shared" si="4"/>
        <v>3</v>
      </c>
      <c r="C104" s="168">
        <f t="shared" si="5"/>
        <v>0.27694118256525735</v>
      </c>
      <c r="D104" s="168">
        <f t="shared" si="3"/>
        <v>-1.3815151646997075</v>
      </c>
      <c r="E104" s="195" t="s">
        <v>803</v>
      </c>
    </row>
    <row r="105" spans="1:13">
      <c r="B105" s="195">
        <f t="shared" si="4"/>
        <v>4</v>
      </c>
      <c r="C105" s="168">
        <f t="shared" si="5"/>
        <v>0.92219986219710892</v>
      </c>
      <c r="D105" s="168">
        <f t="shared" si="3"/>
        <v>-0.55400853481895851</v>
      </c>
      <c r="E105" s="195" t="s">
        <v>803</v>
      </c>
    </row>
    <row r="106" spans="1:13">
      <c r="B106" s="195">
        <f t="shared" si="4"/>
        <v>5</v>
      </c>
      <c r="C106" s="168">
        <f t="shared" si="5"/>
        <v>0.7213445516451592</v>
      </c>
      <c r="D106" s="168">
        <f t="shared" si="3"/>
        <v>-2.5872044375319314E-2</v>
      </c>
      <c r="E106" s="195" t="s">
        <v>803</v>
      </c>
    </row>
    <row r="107" spans="1:13">
      <c r="B107" s="195">
        <f t="shared" si="4"/>
        <v>6</v>
      </c>
      <c r="C107" s="168">
        <f t="shared" si="5"/>
        <v>1.5395475013743818</v>
      </c>
      <c r="D107" s="168">
        <f t="shared" si="3"/>
        <v>0.79233090535390316</v>
      </c>
      <c r="E107" s="195" t="s">
        <v>803</v>
      </c>
    </row>
    <row r="108" spans="1:13">
      <c r="B108" s="195">
        <f t="shared" si="4"/>
        <v>7</v>
      </c>
      <c r="C108" s="168">
        <f t="shared" si="5"/>
        <v>1.1211423463582442</v>
      </c>
      <c r="D108" s="168">
        <f t="shared" si="3"/>
        <v>0.55617370058666293</v>
      </c>
      <c r="E108" s="195" t="s">
        <v>803</v>
      </c>
    </row>
    <row r="109" spans="1:13">
      <c r="B109" s="195">
        <f t="shared" si="4"/>
        <v>8</v>
      </c>
      <c r="C109" s="168">
        <f t="shared" si="5"/>
        <v>0.35684865114736436</v>
      </c>
      <c r="D109" s="168">
        <f t="shared" si="3"/>
        <v>0.33862385612247559</v>
      </c>
      <c r="E109" s="195" t="s">
        <v>803</v>
      </c>
    </row>
    <row r="110" spans="1:13">
      <c r="B110" s="195">
        <f t="shared" si="4"/>
        <v>9</v>
      </c>
      <c r="C110" s="168">
        <f t="shared" si="5"/>
        <v>0.85803051433183175</v>
      </c>
      <c r="D110" s="168">
        <f t="shared" si="3"/>
        <v>-0.16255800706199192</v>
      </c>
      <c r="E110" s="195" t="s">
        <v>803</v>
      </c>
    </row>
    <row r="111" spans="1:13">
      <c r="B111" s="195">
        <f t="shared" si="4"/>
        <v>10</v>
      </c>
      <c r="C111" s="204">
        <f t="shared" si="5"/>
        <v>0.19129523481070465</v>
      </c>
      <c r="D111" s="204">
        <f t="shared" si="3"/>
        <v>1.8133019920258917</v>
      </c>
      <c r="E111" s="195" t="s">
        <v>803</v>
      </c>
    </row>
    <row r="112" spans="1:13">
      <c r="B112" s="205">
        <f t="shared" si="4"/>
        <v>11</v>
      </c>
      <c r="C112" s="206">
        <f t="shared" si="5"/>
        <v>-0.54221818035937352</v>
      </c>
      <c r="D112" s="206">
        <f t="shared" si="3"/>
        <v>-1.3805587515042996</v>
      </c>
      <c r="E112" s="205" t="s">
        <v>804</v>
      </c>
    </row>
    <row r="113" spans="2:9">
      <c r="B113" s="195">
        <f t="shared" si="4"/>
        <v>12</v>
      </c>
      <c r="C113" s="168">
        <f t="shared" si="5"/>
        <v>-0.93366870811633917</v>
      </c>
      <c r="D113" s="168">
        <f t="shared" si="3"/>
        <v>-1.3163894036390227</v>
      </c>
      <c r="E113" s="195" t="s">
        <v>804</v>
      </c>
    </row>
    <row r="114" spans="2:9">
      <c r="B114" s="195">
        <f t="shared" si="4"/>
        <v>13</v>
      </c>
      <c r="C114" s="168">
        <f t="shared" si="5"/>
        <v>-1.5529291736844271</v>
      </c>
      <c r="D114" s="168">
        <f t="shared" si="3"/>
        <v>-1.0244101179626242</v>
      </c>
      <c r="E114" s="195" t="s">
        <v>804</v>
      </c>
    </row>
    <row r="115" spans="2:9">
      <c r="B115" s="195">
        <f t="shared" si="4"/>
        <v>14</v>
      </c>
      <c r="C115" s="168">
        <f t="shared" si="5"/>
        <v>-0.66220960913380833</v>
      </c>
      <c r="D115" s="168">
        <f t="shared" si="3"/>
        <v>4.8557396836891753E-2</v>
      </c>
      <c r="E115" s="195" t="s">
        <v>804</v>
      </c>
    </row>
    <row r="116" spans="2:9">
      <c r="B116" s="195">
        <f t="shared" si="4"/>
        <v>15</v>
      </c>
      <c r="C116" s="168">
        <f t="shared" si="5"/>
        <v>-1.0806147641499459</v>
      </c>
      <c r="D116" s="168">
        <f t="shared" si="3"/>
        <v>-0.18759980793034842</v>
      </c>
      <c r="E116" s="195" t="s">
        <v>804</v>
      </c>
    </row>
    <row r="117" spans="2:9">
      <c r="B117" s="195">
        <f t="shared" si="4"/>
        <v>16</v>
      </c>
      <c r="C117" s="168">
        <f t="shared" si="5"/>
        <v>-0.91697417420410132</v>
      </c>
      <c r="D117" s="168">
        <f t="shared" si="3"/>
        <v>-2.3959217984503733E-2</v>
      </c>
      <c r="E117" s="195" t="s">
        <v>804</v>
      </c>
    </row>
    <row r="118" spans="2:9">
      <c r="B118" s="195">
        <f t="shared" si="4"/>
        <v>17</v>
      </c>
      <c r="C118" s="168">
        <f t="shared" si="5"/>
        <v>-0.9281906807464424</v>
      </c>
      <c r="D118" s="168">
        <f t="shared" si="3"/>
        <v>1.7873037779621272</v>
      </c>
      <c r="E118" s="195" t="s">
        <v>804</v>
      </c>
    </row>
    <row r="119" spans="2:9">
      <c r="B119" s="195">
        <f t="shared" si="4"/>
        <v>18</v>
      </c>
      <c r="C119" s="168">
        <f t="shared" si="5"/>
        <v>-0.24571728050848507</v>
      </c>
      <c r="D119" s="168">
        <f t="shared" si="3"/>
        <v>1.9230333274533922</v>
      </c>
      <c r="E119" s="195" t="s">
        <v>804</v>
      </c>
    </row>
    <row r="120" spans="2:9">
      <c r="B120" s="195">
        <f t="shared" si="4"/>
        <v>19</v>
      </c>
      <c r="C120" s="168">
        <f t="shared" si="5"/>
        <v>-1.1550442053621564</v>
      </c>
      <c r="D120" s="168">
        <f t="shared" si="3"/>
        <v>1.1959543528486185</v>
      </c>
      <c r="E120" s="195" t="s">
        <v>804</v>
      </c>
    </row>
    <row r="121" spans="2:9">
      <c r="B121" s="195">
        <f t="shared" si="4"/>
        <v>20</v>
      </c>
      <c r="C121" s="168">
        <f t="shared" si="5"/>
        <v>-0.61569120837617664</v>
      </c>
      <c r="D121" s="168">
        <f t="shared" si="3"/>
        <v>-0.81616395364996275</v>
      </c>
      <c r="E121" s="195" t="s">
        <v>804</v>
      </c>
    </row>
    <row r="123" spans="2:9">
      <c r="B123" s="6" t="s">
        <v>882</v>
      </c>
      <c r="C123" s="196" t="s">
        <v>883</v>
      </c>
      <c r="D123" s="196"/>
      <c r="E123" s="196"/>
      <c r="F123" s="196"/>
      <c r="G123" s="196"/>
      <c r="H123" s="196"/>
      <c r="I123" s="196"/>
    </row>
    <row r="124" spans="2:9">
      <c r="C124" s="196" t="s">
        <v>1083</v>
      </c>
      <c r="D124" s="196"/>
      <c r="E124" s="196"/>
      <c r="F124" s="196"/>
      <c r="G124" s="196"/>
      <c r="H124" s="196"/>
      <c r="I124" s="196"/>
    </row>
    <row r="125" spans="2:9">
      <c r="C125" s="196"/>
      <c r="D125" s="196"/>
      <c r="E125" s="196"/>
      <c r="F125" s="196"/>
      <c r="G125" s="196"/>
      <c r="H125" s="196"/>
      <c r="I125" s="196"/>
    </row>
    <row r="129" spans="1:13">
      <c r="A129" s="24" t="s">
        <v>918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2" spans="1:13">
      <c r="B132" s="197"/>
      <c r="C132" s="197"/>
      <c r="D132" s="197"/>
      <c r="E132" s="197"/>
      <c r="F132" s="197"/>
      <c r="G132" s="197"/>
    </row>
    <row r="133" spans="1:13">
      <c r="B133" s="197"/>
      <c r="C133" s="197"/>
      <c r="D133" s="197"/>
      <c r="E133" s="197"/>
      <c r="F133" s="197"/>
      <c r="G133" s="197"/>
    </row>
    <row r="134" spans="1:13">
      <c r="B134" s="197"/>
      <c r="C134" s="197"/>
      <c r="D134" s="197"/>
      <c r="E134" s="197"/>
      <c r="F134" s="197"/>
      <c r="G134" s="197"/>
    </row>
    <row r="135" spans="1:13">
      <c r="B135" s="197"/>
      <c r="C135" s="197"/>
      <c r="D135" s="197"/>
      <c r="E135" s="197"/>
      <c r="F135" s="197"/>
      <c r="G135" s="197"/>
    </row>
    <row r="136" spans="1:13">
      <c r="B136" s="197"/>
      <c r="C136" s="197"/>
      <c r="D136" s="197"/>
      <c r="E136" s="197"/>
      <c r="F136" s="197"/>
      <c r="G136" s="197"/>
    </row>
    <row r="137" spans="1:13">
      <c r="B137" s="197"/>
      <c r="C137" s="197"/>
      <c r="D137" s="197"/>
      <c r="E137" s="197"/>
      <c r="F137" s="197"/>
      <c r="G137" s="197"/>
    </row>
    <row r="138" spans="1:13">
      <c r="B138" s="197"/>
      <c r="C138" s="197"/>
      <c r="D138" s="197"/>
      <c r="E138" s="197"/>
      <c r="F138" s="197"/>
      <c r="G138" s="197"/>
    </row>
    <row r="139" spans="1:13">
      <c r="B139" s="197"/>
      <c r="C139" s="197"/>
      <c r="D139" s="197" t="s">
        <v>891</v>
      </c>
      <c r="E139" s="197"/>
      <c r="F139" s="197"/>
      <c r="G139" s="197"/>
    </row>
    <row r="140" spans="1:13">
      <c r="B140" s="197"/>
      <c r="C140" s="197"/>
      <c r="D140" s="197"/>
      <c r="E140" s="197"/>
      <c r="F140" s="197"/>
      <c r="G140" s="197"/>
    </row>
    <row r="141" spans="1:13">
      <c r="B141" s="197"/>
      <c r="C141" s="197"/>
      <c r="D141" s="197"/>
      <c r="E141" s="197"/>
      <c r="F141" s="197"/>
      <c r="G141" s="197"/>
    </row>
    <row r="142" spans="1:13">
      <c r="B142" s="197"/>
      <c r="C142" s="197"/>
      <c r="D142" s="197"/>
      <c r="E142" s="197"/>
      <c r="F142" s="197"/>
      <c r="G142" s="197"/>
    </row>
    <row r="143" spans="1:13">
      <c r="B143" s="197"/>
      <c r="C143" s="197"/>
      <c r="D143" s="197"/>
      <c r="E143" s="197"/>
      <c r="F143" s="197"/>
      <c r="G143" s="197"/>
    </row>
    <row r="144" spans="1:13">
      <c r="B144" s="197"/>
      <c r="C144" s="197"/>
      <c r="D144" s="197"/>
      <c r="E144" s="197"/>
      <c r="F144" s="197"/>
      <c r="G144" s="197"/>
    </row>
    <row r="145" spans="1:13">
      <c r="B145" s="197"/>
      <c r="C145" s="197"/>
      <c r="D145" s="197"/>
      <c r="E145" s="197"/>
      <c r="F145" s="197"/>
      <c r="G145" s="197"/>
    </row>
    <row r="146" spans="1:13">
      <c r="B146" s="197"/>
      <c r="C146" s="197"/>
      <c r="D146" s="197"/>
      <c r="E146" s="197"/>
      <c r="F146" s="197"/>
      <c r="G146" s="197"/>
    </row>
    <row r="147" spans="1:13">
      <c r="B147" s="197"/>
      <c r="C147" s="197"/>
      <c r="D147" s="197"/>
      <c r="E147" s="197"/>
      <c r="F147" s="197"/>
      <c r="G147" s="197"/>
    </row>
    <row r="151" spans="1:13">
      <c r="A151" s="24" t="s">
        <v>885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4" spans="1:13">
      <c r="C154" s="6" t="s">
        <v>886</v>
      </c>
      <c r="D154" s="6" t="s">
        <v>887</v>
      </c>
    </row>
    <row r="155" spans="1:13">
      <c r="B155" s="195">
        <v>1</v>
      </c>
      <c r="C155" s="168">
        <f t="shared" ref="C155:C164" si="6">C102</f>
        <v>1.2141791478735078</v>
      </c>
      <c r="D155" s="168">
        <f t="shared" ref="D155:D164" si="7">C112</f>
        <v>-0.54221818035937352</v>
      </c>
    </row>
    <row r="156" spans="1:13">
      <c r="B156" s="195">
        <f t="shared" ref="B156:B164" si="8">B155+1</f>
        <v>2</v>
      </c>
      <c r="C156" s="168">
        <f t="shared" si="6"/>
        <v>1.4317289923376957</v>
      </c>
      <c r="D156" s="168">
        <f t="shared" si="7"/>
        <v>-0.93366870811633917</v>
      </c>
    </row>
    <row r="157" spans="1:13">
      <c r="B157" s="195">
        <f t="shared" si="8"/>
        <v>3</v>
      </c>
      <c r="C157" s="168">
        <f t="shared" si="6"/>
        <v>0.27694118256525735</v>
      </c>
      <c r="D157" s="168">
        <f t="shared" si="7"/>
        <v>-1.5529291736844271</v>
      </c>
    </row>
    <row r="158" spans="1:13">
      <c r="B158" s="195">
        <f t="shared" si="8"/>
        <v>4</v>
      </c>
      <c r="C158" s="168">
        <f t="shared" si="6"/>
        <v>0.92219986219710892</v>
      </c>
      <c r="D158" s="168">
        <f t="shared" si="7"/>
        <v>-0.66220960913380833</v>
      </c>
    </row>
    <row r="159" spans="1:13">
      <c r="B159" s="195">
        <f t="shared" si="8"/>
        <v>5</v>
      </c>
      <c r="C159" s="168">
        <f t="shared" si="6"/>
        <v>0.7213445516451592</v>
      </c>
      <c r="D159" s="168">
        <f t="shared" si="7"/>
        <v>-1.0806147641499459</v>
      </c>
    </row>
    <row r="160" spans="1:13">
      <c r="B160" s="195">
        <f t="shared" si="8"/>
        <v>6</v>
      </c>
      <c r="C160" s="168">
        <f t="shared" si="6"/>
        <v>1.5395475013743818</v>
      </c>
      <c r="D160" s="168">
        <f t="shared" si="7"/>
        <v>-0.91697417420410132</v>
      </c>
    </row>
    <row r="161" spans="1:13">
      <c r="B161" s="195">
        <f t="shared" si="8"/>
        <v>7</v>
      </c>
      <c r="C161" s="168">
        <f t="shared" si="6"/>
        <v>1.1211423463582442</v>
      </c>
      <c r="D161" s="168">
        <f t="shared" si="7"/>
        <v>-0.9281906807464424</v>
      </c>
    </row>
    <row r="162" spans="1:13">
      <c r="B162" s="195">
        <f t="shared" si="8"/>
        <v>8</v>
      </c>
      <c r="C162" s="168">
        <f t="shared" si="6"/>
        <v>0.35684865114736436</v>
      </c>
      <c r="D162" s="168">
        <f t="shared" si="7"/>
        <v>-0.24571728050848507</v>
      </c>
    </row>
    <row r="163" spans="1:13">
      <c r="B163" s="195">
        <f t="shared" si="8"/>
        <v>9</v>
      </c>
      <c r="C163" s="168">
        <f t="shared" si="6"/>
        <v>0.85803051433183175</v>
      </c>
      <c r="D163" s="168">
        <f t="shared" si="7"/>
        <v>-1.1550442053621564</v>
      </c>
    </row>
    <row r="164" spans="1:13">
      <c r="B164" s="195">
        <f t="shared" si="8"/>
        <v>10</v>
      </c>
      <c r="C164" s="168">
        <f t="shared" si="6"/>
        <v>0.19129523481070465</v>
      </c>
      <c r="D164" s="168">
        <f t="shared" si="7"/>
        <v>-0.61569120837617664</v>
      </c>
    </row>
    <row r="165" spans="1:13">
      <c r="C165" s="149"/>
      <c r="D165" s="149"/>
    </row>
    <row r="166" spans="1:13">
      <c r="B166" s="6" t="s">
        <v>328</v>
      </c>
      <c r="C166" s="168">
        <f>AVERAGE(C155:C164)</f>
        <v>0.8633257984641256</v>
      </c>
      <c r="D166" s="168">
        <f>AVERAGE(D155:D164)</f>
        <v>-0.8633257984641256</v>
      </c>
    </row>
    <row r="167" spans="1:13">
      <c r="B167" s="6" t="s">
        <v>396</v>
      </c>
      <c r="C167" s="168">
        <f>_xlfn.STDEV.P(C155:C164)</f>
        <v>0.45227971370783504</v>
      </c>
      <c r="D167" s="168">
        <f>_xlfn.STDEV.P(D155:D164)</f>
        <v>0.34730701985902762</v>
      </c>
    </row>
    <row r="168" spans="1:13">
      <c r="B168" s="6" t="s">
        <v>397</v>
      </c>
      <c r="C168" s="8">
        <f>COUNTA(C155:C164)</f>
        <v>10</v>
      </c>
      <c r="D168" s="8">
        <f>COUNTA(D155:D164)</f>
        <v>10</v>
      </c>
    </row>
    <row r="169" spans="1:13">
      <c r="B169" s="6" t="s">
        <v>888</v>
      </c>
      <c r="C169" s="8">
        <f>COUNTA(B93:B94)</f>
        <v>2</v>
      </c>
    </row>
    <row r="170" spans="1:13">
      <c r="B170" s="6" t="s">
        <v>901</v>
      </c>
      <c r="C170" s="8">
        <f>COUNTA(C154:D154)</f>
        <v>2</v>
      </c>
    </row>
    <row r="172" spans="1:13">
      <c r="B172" s="125" t="s">
        <v>889</v>
      </c>
      <c r="C172" s="8">
        <f>AVERAGE(C155:D164)</f>
        <v>0</v>
      </c>
      <c r="D172" s="195" t="s">
        <v>900</v>
      </c>
    </row>
    <row r="176" spans="1:13">
      <c r="A176" s="24" t="s">
        <v>892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9" spans="1:13">
      <c r="B179" s="6" t="s">
        <v>893</v>
      </c>
      <c r="C179" s="168">
        <f>SUMSQ(C166:D166)*C168</f>
        <v>14.906628685874402</v>
      </c>
    </row>
    <row r="180" spans="1:13">
      <c r="B180" s="6" t="s">
        <v>894</v>
      </c>
      <c r="C180" s="168">
        <f>C168*(C167^2+D167^2)</f>
        <v>3.2517910547500022</v>
      </c>
    </row>
    <row r="184" spans="1:13">
      <c r="A184" s="24" t="s">
        <v>895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7" spans="1:13">
      <c r="B187" s="6" t="s">
        <v>896</v>
      </c>
      <c r="C187" s="168">
        <f>C179/C180</f>
        <v>4.5841286955075979</v>
      </c>
    </row>
    <row r="188" spans="1:13">
      <c r="B188" s="6" t="s">
        <v>897</v>
      </c>
      <c r="C188" s="168">
        <f>1-C189</f>
        <v>0.17907896728893347</v>
      </c>
    </row>
    <row r="189" spans="1:13">
      <c r="B189" s="6" t="s">
        <v>898</v>
      </c>
      <c r="C189" s="168">
        <f>C187/(1+C187)</f>
        <v>0.82092103271106653</v>
      </c>
    </row>
    <row r="190" spans="1:13">
      <c r="B190" s="6" t="s">
        <v>484</v>
      </c>
      <c r="C190" s="168">
        <f>COUNTA(B102:B121)-2</f>
        <v>18</v>
      </c>
    </row>
    <row r="191" spans="1:13">
      <c r="B191" s="6" t="s">
        <v>899</v>
      </c>
      <c r="C191" s="168">
        <f>C180/C190</f>
        <v>0.18065505859722233</v>
      </c>
    </row>
    <row r="192" spans="1:13">
      <c r="B192" s="6" t="s">
        <v>905</v>
      </c>
      <c r="C192" s="168">
        <f>SQRT(C191)</f>
        <v>0.42503536158444788</v>
      </c>
    </row>
    <row r="196" spans="1:13">
      <c r="A196" s="24" t="s">
        <v>1084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9" spans="1:13">
      <c r="B199" s="6" t="s">
        <v>650</v>
      </c>
      <c r="C199" s="168">
        <f>-(2*C168-(C169+C170)/2-1)*LN(C188)</f>
        <v>29.238783010532167</v>
      </c>
    </row>
    <row r="200" spans="1:13">
      <c r="B200" s="6" t="s">
        <v>484</v>
      </c>
      <c r="C200" s="8">
        <f>C169*(C170-1)</f>
        <v>2</v>
      </c>
    </row>
    <row r="201" spans="1:13">
      <c r="B201" s="6" t="s">
        <v>648</v>
      </c>
      <c r="C201" s="168">
        <f>_xlfn.CHISQ.DIST.RT(C199,C200)</f>
        <v>4.4758852155375036E-7</v>
      </c>
    </row>
    <row r="203" spans="1:13">
      <c r="B203" s="125" t="s">
        <v>902</v>
      </c>
      <c r="C203" s="8" t="s">
        <v>903</v>
      </c>
      <c r="D203" s="8"/>
      <c r="E203" s="8"/>
      <c r="F203" s="8"/>
      <c r="G203" s="8"/>
      <c r="H203" s="8"/>
    </row>
    <row r="204" spans="1:13">
      <c r="C204" s="8" t="s">
        <v>904</v>
      </c>
      <c r="D204" s="8"/>
      <c r="E204" s="8"/>
      <c r="F204" s="8"/>
      <c r="G204" s="8"/>
      <c r="H204" s="8"/>
    </row>
    <row r="205" spans="1:13">
      <c r="C205" s="8"/>
      <c r="D205" s="8"/>
      <c r="E205" s="8"/>
      <c r="F205" s="8"/>
      <c r="G205" s="8"/>
      <c r="H205" s="8"/>
    </row>
    <row r="209" spans="1:13">
      <c r="A209" s="24" t="s">
        <v>1085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2" spans="1:13">
      <c r="B212" s="6" t="s">
        <v>906</v>
      </c>
      <c r="C212" s="168">
        <f>C93/C192</f>
        <v>1.6636422403787607</v>
      </c>
    </row>
    <row r="213" spans="1:13">
      <c r="B213" s="6" t="s">
        <v>907</v>
      </c>
      <c r="C213" s="168">
        <f>C94/C192</f>
        <v>-1.6636422403787605</v>
      </c>
    </row>
    <row r="217" spans="1:13">
      <c r="A217" s="24" t="s">
        <v>908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20" spans="1:13">
      <c r="C220" s="6" t="s">
        <v>886</v>
      </c>
      <c r="D220" s="6" t="s">
        <v>887</v>
      </c>
    </row>
    <row r="221" spans="1:13">
      <c r="B221" s="195">
        <v>1</v>
      </c>
      <c r="C221" s="168">
        <f>$C$212*C46+$C$213*D46</f>
        <v>2.8566544283451796</v>
      </c>
      <c r="D221" s="168">
        <f>$C$212*C56+$C$213*D56</f>
        <v>-1.2757013400910719</v>
      </c>
    </row>
    <row r="222" spans="1:13">
      <c r="B222" s="195">
        <f t="shared" ref="B222:B230" si="9">B221+1</f>
        <v>2</v>
      </c>
      <c r="C222" s="168">
        <f t="shared" ref="C222:C230" si="10">$C$212*C47+$C$213*D47</f>
        <v>3.3684938283734622</v>
      </c>
      <c r="D222" s="168">
        <f t="shared" ref="D222:D230" si="11">$C$212*C57+$C$213*D57</f>
        <v>-2.1966847761461694</v>
      </c>
    </row>
    <row r="223" spans="1:13">
      <c r="B223" s="195">
        <f t="shared" si="9"/>
        <v>3</v>
      </c>
      <c r="C223" s="168">
        <f t="shared" si="10"/>
        <v>0.65157209869050758</v>
      </c>
      <c r="D223" s="168">
        <f t="shared" si="11"/>
        <v>-3.6536469998529384</v>
      </c>
    </row>
    <row r="224" spans="1:13">
      <c r="B224" s="195">
        <f t="shared" si="9"/>
        <v>4</v>
      </c>
      <c r="C224" s="168">
        <f t="shared" si="10"/>
        <v>2.1697015014452679</v>
      </c>
      <c r="D224" s="168">
        <f t="shared" si="11"/>
        <v>-1.5580106244930345</v>
      </c>
    </row>
    <row r="225" spans="1:13">
      <c r="B225" s="195">
        <f t="shared" si="9"/>
        <v>5</v>
      </c>
      <c r="C225" s="168">
        <f t="shared" si="10"/>
        <v>1.6971400896060251</v>
      </c>
      <c r="D225" s="168">
        <f t="shared" si="11"/>
        <v>-2.5424114363605597</v>
      </c>
    </row>
    <row r="226" spans="1:13">
      <c r="B226" s="195">
        <f t="shared" si="9"/>
        <v>6</v>
      </c>
      <c r="C226" s="168">
        <f t="shared" si="10"/>
        <v>3.6221633316231685</v>
      </c>
      <c r="D226" s="168">
        <f t="shared" si="11"/>
        <v>-2.1574067879571306</v>
      </c>
    </row>
    <row r="227" spans="1:13">
      <c r="B227" s="195">
        <f t="shared" si="9"/>
        <v>7</v>
      </c>
      <c r="C227" s="168">
        <f t="shared" si="10"/>
        <v>2.6377625197556429</v>
      </c>
      <c r="D227" s="168">
        <f t="shared" si="11"/>
        <v>-2.1837963723449523</v>
      </c>
    </row>
    <row r="228" spans="1:13">
      <c r="B228" s="195">
        <f t="shared" si="9"/>
        <v>8</v>
      </c>
      <c r="C228" s="168">
        <f t="shared" si="10"/>
        <v>0.83957402936335246</v>
      </c>
      <c r="D228" s="168">
        <f t="shared" si="11"/>
        <v>-0.57811020615437658</v>
      </c>
    </row>
    <row r="229" spans="1:13">
      <c r="B229" s="195">
        <f t="shared" si="9"/>
        <v>9</v>
      </c>
      <c r="C229" s="168">
        <f t="shared" si="10"/>
        <v>2.0187273621970263</v>
      </c>
      <c r="D229" s="168">
        <f t="shared" si="11"/>
        <v>-2.7175249632321874</v>
      </c>
    </row>
    <row r="230" spans="1:13">
      <c r="B230" s="195">
        <f t="shared" si="9"/>
        <v>10</v>
      </c>
      <c r="C230" s="168">
        <f t="shared" si="10"/>
        <v>0.45006898743105439</v>
      </c>
      <c r="D230" s="168">
        <f t="shared" si="11"/>
        <v>-1.4485646701982664</v>
      </c>
    </row>
    <row r="231" spans="1:13">
      <c r="C231" s="149"/>
      <c r="D231" s="149"/>
    </row>
    <row r="232" spans="1:13">
      <c r="B232" s="6" t="s">
        <v>328</v>
      </c>
      <c r="C232" s="168">
        <f>AVERAGE(C221:C230)</f>
        <v>2.0311858176830686</v>
      </c>
      <c r="D232" s="168">
        <f>AVERAGE(D221:D230)</f>
        <v>-2.0311858176830686</v>
      </c>
    </row>
    <row r="233" spans="1:13">
      <c r="B233" s="6" t="s">
        <v>396</v>
      </c>
      <c r="C233" s="168">
        <f>_xlfn.STDEV.P(C221:C230)</f>
        <v>1.0640990246595612</v>
      </c>
      <c r="D233" s="168">
        <f>_xlfn.STDEV.P(D221:D230)</f>
        <v>0.81712500005725552</v>
      </c>
    </row>
    <row r="235" spans="1:13">
      <c r="B235" s="6" t="s">
        <v>889</v>
      </c>
      <c r="C235" s="8">
        <f>AVERAGE(C221:D230)</f>
        <v>0</v>
      </c>
    </row>
    <row r="239" spans="1:13">
      <c r="A239" s="24" t="s">
        <v>909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2" spans="1:13">
      <c r="B242" s="6" t="s">
        <v>893</v>
      </c>
      <c r="C242" s="168">
        <f>SUMSQ(C232:D232)*C168</f>
        <v>82.514316519136713</v>
      </c>
    </row>
    <row r="243" spans="1:13">
      <c r="B243" s="6" t="s">
        <v>894</v>
      </c>
      <c r="C243" s="168">
        <f>C168*(C233^2+D233^2)</f>
        <v>17.999999999999993</v>
      </c>
    </row>
    <row r="247" spans="1:13">
      <c r="A247" s="24" t="s">
        <v>910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50" spans="1:13">
      <c r="B250" s="6" t="s">
        <v>896</v>
      </c>
      <c r="C250" s="168">
        <f>C242/C243</f>
        <v>4.5841286955075971</v>
      </c>
      <c r="D250" s="211" t="s">
        <v>1086</v>
      </c>
      <c r="E250" s="211"/>
      <c r="F250" s="211"/>
    </row>
    <row r="251" spans="1:13">
      <c r="B251" s="6" t="s">
        <v>897</v>
      </c>
      <c r="C251" s="168">
        <f>1-C252</f>
        <v>0.17907896728893358</v>
      </c>
    </row>
    <row r="252" spans="1:13">
      <c r="B252" s="6" t="s">
        <v>898</v>
      </c>
      <c r="C252" s="168">
        <f>C250/(1+C250)</f>
        <v>0.82092103271106642</v>
      </c>
    </row>
    <row r="253" spans="1:13">
      <c r="B253" s="6" t="s">
        <v>484</v>
      </c>
      <c r="C253" s="168">
        <f>COUNTA(B102:B121)-2</f>
        <v>18</v>
      </c>
    </row>
    <row r="254" spans="1:13">
      <c r="B254" s="6" t="s">
        <v>899</v>
      </c>
      <c r="C254" s="168">
        <f>C243/C253</f>
        <v>0.99999999999999956</v>
      </c>
      <c r="D254" s="211" t="s">
        <v>1087</v>
      </c>
    </row>
    <row r="255" spans="1:13">
      <c r="B255" s="6" t="s">
        <v>905</v>
      </c>
      <c r="C255" s="168">
        <f>SQRT(C254)</f>
        <v>0.99999999999999978</v>
      </c>
    </row>
    <row r="259" spans="1:13">
      <c r="A259" s="24" t="s">
        <v>911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2" spans="1:13">
      <c r="B262" s="6" t="s">
        <v>912</v>
      </c>
      <c r="C262" s="168">
        <f>C232-D232</f>
        <v>4.0623716353661372</v>
      </c>
    </row>
    <row r="263" spans="1:13">
      <c r="B263" s="6" t="s">
        <v>914</v>
      </c>
      <c r="C263" s="168">
        <f>SQRT(2*1/10)*C255</f>
        <v>0.44721359549995782</v>
      </c>
    </row>
    <row r="264" spans="1:13">
      <c r="B264" s="6" t="s">
        <v>913</v>
      </c>
      <c r="C264" s="168">
        <f>C262/C263</f>
        <v>9.0837391265456748</v>
      </c>
    </row>
    <row r="265" spans="1:13">
      <c r="B265" s="6" t="s">
        <v>648</v>
      </c>
      <c r="C265" s="168">
        <f>_xlfn.T.DIST.2T(C264,C253)</f>
        <v>3.8361796419579799E-8</v>
      </c>
    </row>
    <row r="269" spans="1:13">
      <c r="A269" s="24" t="s">
        <v>915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2" spans="1:13">
      <c r="B272" s="6" t="s">
        <v>831</v>
      </c>
      <c r="C272" s="168">
        <f>C262/C255</f>
        <v>4.0623716353661381</v>
      </c>
      <c r="D272" s="211" t="s">
        <v>1088</v>
      </c>
      <c r="E272" s="211"/>
      <c r="F272" s="211"/>
      <c r="G272" s="211"/>
      <c r="H272" s="211"/>
      <c r="I272" s="211"/>
    </row>
    <row r="273" spans="1:13">
      <c r="B273" s="6" t="s">
        <v>832</v>
      </c>
      <c r="C273" s="168">
        <v>1</v>
      </c>
      <c r="D273" s="197" t="s">
        <v>916</v>
      </c>
      <c r="E273" s="197"/>
      <c r="F273" s="197"/>
      <c r="G273" s="197"/>
    </row>
    <row r="274" spans="1:13">
      <c r="B274" s="6" t="s">
        <v>833</v>
      </c>
      <c r="C274" s="168">
        <f>LN(C273)/C272</f>
        <v>0</v>
      </c>
    </row>
    <row r="276" spans="1:13">
      <c r="B276" s="125" t="s">
        <v>917</v>
      </c>
      <c r="C276" s="198"/>
      <c r="D276" s="198"/>
      <c r="E276" s="198"/>
      <c r="F276" s="198"/>
      <c r="G276" s="198"/>
    </row>
    <row r="277" spans="1:13">
      <c r="C277" s="198"/>
      <c r="D277" s="198"/>
      <c r="E277" s="198"/>
      <c r="F277" s="198"/>
      <c r="G277" s="198"/>
    </row>
    <row r="278" spans="1:13">
      <c r="C278" s="198"/>
      <c r="D278" s="198"/>
      <c r="E278" s="198"/>
      <c r="F278" s="198"/>
      <c r="G278" s="198"/>
    </row>
    <row r="279" spans="1:13">
      <c r="C279" s="198"/>
      <c r="D279" s="198"/>
      <c r="E279" s="198"/>
      <c r="F279" s="198"/>
      <c r="G279" s="198"/>
    </row>
    <row r="280" spans="1:13">
      <c r="C280" s="198"/>
      <c r="D280" s="198"/>
      <c r="E280" s="198"/>
      <c r="F280" s="198"/>
      <c r="G280" s="198"/>
    </row>
    <row r="281" spans="1:13">
      <c r="C281" s="198"/>
      <c r="D281" s="198"/>
      <c r="E281" s="198"/>
      <c r="F281" s="198"/>
      <c r="G281" s="198"/>
    </row>
    <row r="285" spans="1:13">
      <c r="A285" s="24" t="s">
        <v>919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8" spans="1:13">
      <c r="B288" s="6" t="s">
        <v>920</v>
      </c>
      <c r="C288" s="172">
        <f>C274</f>
        <v>0</v>
      </c>
    </row>
    <row r="289" spans="2:5">
      <c r="B289" s="197" t="s">
        <v>921</v>
      </c>
      <c r="C289" s="197"/>
      <c r="D289" s="197"/>
    </row>
    <row r="290" spans="2:5">
      <c r="B290" s="197" t="s">
        <v>922</v>
      </c>
      <c r="C290" s="197"/>
      <c r="D290" s="197"/>
    </row>
    <row r="291" spans="2:5">
      <c r="B291" s="6" t="s">
        <v>923</v>
      </c>
      <c r="C291" s="6" t="s">
        <v>924</v>
      </c>
      <c r="D291" s="6" t="s">
        <v>925</v>
      </c>
      <c r="E291" s="6" t="s">
        <v>926</v>
      </c>
    </row>
    <row r="292" spans="2:5">
      <c r="B292" s="8">
        <f>IF(C221&gt;$C$274,1,0)</f>
        <v>1</v>
      </c>
      <c r="C292" s="8">
        <f>1-B292</f>
        <v>0</v>
      </c>
      <c r="D292" s="8">
        <f>IF(D221&gt;$C$274,1,0)</f>
        <v>0</v>
      </c>
      <c r="E292" s="8">
        <f>1-D292</f>
        <v>1</v>
      </c>
    </row>
    <row r="293" spans="2:5">
      <c r="B293" s="8">
        <f t="shared" ref="B293:B301" si="12">IF(C222&gt;$C$274,1,0)</f>
        <v>1</v>
      </c>
      <c r="C293" s="8">
        <f t="shared" ref="C293:C301" si="13">1-B293</f>
        <v>0</v>
      </c>
      <c r="D293" s="8">
        <f t="shared" ref="D293:D301" si="14">IF(D222&gt;$C$274,1,0)</f>
        <v>0</v>
      </c>
      <c r="E293" s="8">
        <f t="shared" ref="E293:E301" si="15">1-D293</f>
        <v>1</v>
      </c>
    </row>
    <row r="294" spans="2:5">
      <c r="B294" s="8">
        <f t="shared" si="12"/>
        <v>1</v>
      </c>
      <c r="C294" s="8">
        <f t="shared" si="13"/>
        <v>0</v>
      </c>
      <c r="D294" s="8">
        <f t="shared" si="14"/>
        <v>0</v>
      </c>
      <c r="E294" s="8">
        <f t="shared" si="15"/>
        <v>1</v>
      </c>
    </row>
    <row r="295" spans="2:5">
      <c r="B295" s="8">
        <f t="shared" si="12"/>
        <v>1</v>
      </c>
      <c r="C295" s="8">
        <f t="shared" si="13"/>
        <v>0</v>
      </c>
      <c r="D295" s="8">
        <f t="shared" si="14"/>
        <v>0</v>
      </c>
      <c r="E295" s="8">
        <f t="shared" si="15"/>
        <v>1</v>
      </c>
    </row>
    <row r="296" spans="2:5">
      <c r="B296" s="8">
        <f t="shared" si="12"/>
        <v>1</v>
      </c>
      <c r="C296" s="8">
        <f t="shared" si="13"/>
        <v>0</v>
      </c>
      <c r="D296" s="8">
        <f t="shared" si="14"/>
        <v>0</v>
      </c>
      <c r="E296" s="8">
        <f t="shared" si="15"/>
        <v>1</v>
      </c>
    </row>
    <row r="297" spans="2:5">
      <c r="B297" s="8">
        <f t="shared" si="12"/>
        <v>1</v>
      </c>
      <c r="C297" s="8">
        <f t="shared" si="13"/>
        <v>0</v>
      </c>
      <c r="D297" s="8">
        <f t="shared" si="14"/>
        <v>0</v>
      </c>
      <c r="E297" s="8">
        <f t="shared" si="15"/>
        <v>1</v>
      </c>
    </row>
    <row r="298" spans="2:5">
      <c r="B298" s="8">
        <f t="shared" si="12"/>
        <v>1</v>
      </c>
      <c r="C298" s="8">
        <f t="shared" si="13"/>
        <v>0</v>
      </c>
      <c r="D298" s="8">
        <f t="shared" si="14"/>
        <v>0</v>
      </c>
      <c r="E298" s="8">
        <f t="shared" si="15"/>
        <v>1</v>
      </c>
    </row>
    <row r="299" spans="2:5">
      <c r="B299" s="8">
        <f t="shared" si="12"/>
        <v>1</v>
      </c>
      <c r="C299" s="8">
        <f t="shared" si="13"/>
        <v>0</v>
      </c>
      <c r="D299" s="8">
        <f t="shared" si="14"/>
        <v>0</v>
      </c>
      <c r="E299" s="8">
        <f t="shared" si="15"/>
        <v>1</v>
      </c>
    </row>
    <row r="300" spans="2:5">
      <c r="B300" s="8">
        <f t="shared" si="12"/>
        <v>1</v>
      </c>
      <c r="C300" s="8">
        <f t="shared" si="13"/>
        <v>0</v>
      </c>
      <c r="D300" s="8">
        <f t="shared" si="14"/>
        <v>0</v>
      </c>
      <c r="E300" s="8">
        <f t="shared" si="15"/>
        <v>1</v>
      </c>
    </row>
    <row r="301" spans="2:5">
      <c r="B301" s="8">
        <f t="shared" si="12"/>
        <v>1</v>
      </c>
      <c r="C301" s="8">
        <f t="shared" si="13"/>
        <v>0</v>
      </c>
      <c r="D301" s="8">
        <f t="shared" si="14"/>
        <v>0</v>
      </c>
      <c r="E301" s="8">
        <f t="shared" si="15"/>
        <v>1</v>
      </c>
    </row>
    <row r="305" spans="1:13">
      <c r="A305" s="24" t="s">
        <v>927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</row>
    <row r="308" spans="1:13">
      <c r="B308" s="6" t="s">
        <v>928</v>
      </c>
      <c r="C308" s="6"/>
      <c r="D308" s="197" t="s">
        <v>929</v>
      </c>
    </row>
    <row r="309" spans="1:13">
      <c r="D309" s="6" t="s">
        <v>803</v>
      </c>
      <c r="E309" s="6" t="s">
        <v>804</v>
      </c>
    </row>
    <row r="310" spans="1:13">
      <c r="B310" s="197" t="s">
        <v>930</v>
      </c>
      <c r="C310" s="6" t="s">
        <v>803</v>
      </c>
      <c r="D310" s="198" t="s">
        <v>931</v>
      </c>
      <c r="E310" s="198" t="s">
        <v>932</v>
      </c>
    </row>
    <row r="311" spans="1:13">
      <c r="C311" s="6" t="s">
        <v>804</v>
      </c>
      <c r="D311" s="198" t="s">
        <v>793</v>
      </c>
      <c r="E311" s="198" t="s">
        <v>790</v>
      </c>
    </row>
    <row r="313" spans="1:13">
      <c r="B313" s="6" t="s">
        <v>928</v>
      </c>
      <c r="C313" s="6"/>
      <c r="D313" s="197" t="s">
        <v>929</v>
      </c>
    </row>
    <row r="314" spans="1:13">
      <c r="D314" s="6" t="s">
        <v>803</v>
      </c>
      <c r="E314" s="6" t="s">
        <v>804</v>
      </c>
      <c r="F314" s="6" t="s">
        <v>404</v>
      </c>
    </row>
    <row r="315" spans="1:13">
      <c r="B315" s="197" t="s">
        <v>930</v>
      </c>
      <c r="C315" s="6" t="s">
        <v>803</v>
      </c>
      <c r="D315" s="8">
        <f>SUM(B292:B301)</f>
        <v>10</v>
      </c>
      <c r="E315" s="8">
        <f>F315-D315</f>
        <v>0</v>
      </c>
      <c r="F315" s="8">
        <f>SUM(B292:C301)</f>
        <v>10</v>
      </c>
    </row>
    <row r="316" spans="1:13">
      <c r="C316" s="6" t="s">
        <v>804</v>
      </c>
      <c r="D316" s="8">
        <f>F316-E316</f>
        <v>0</v>
      </c>
      <c r="E316" s="8">
        <f>SUM(E292:E301)</f>
        <v>10</v>
      </c>
      <c r="F316" s="8">
        <f>SUM(D292:E301)</f>
        <v>10</v>
      </c>
    </row>
    <row r="317" spans="1:13">
      <c r="F317" s="8">
        <f>SUM(F315:F316)</f>
        <v>20</v>
      </c>
    </row>
    <row r="319" spans="1:13">
      <c r="B319" s="6" t="s">
        <v>928</v>
      </c>
      <c r="C319" s="6"/>
      <c r="D319" s="197" t="s">
        <v>929</v>
      </c>
    </row>
    <row r="320" spans="1:13">
      <c r="D320" s="6" t="s">
        <v>803</v>
      </c>
      <c r="E320" s="6" t="s">
        <v>804</v>
      </c>
    </row>
    <row r="321" spans="1:13">
      <c r="B321" s="197" t="s">
        <v>930</v>
      </c>
      <c r="C321" s="6" t="s">
        <v>803</v>
      </c>
      <c r="D321" s="210">
        <f>D315/F315</f>
        <v>1</v>
      </c>
      <c r="E321" s="210">
        <f>1-D321</f>
        <v>0</v>
      </c>
    </row>
    <row r="322" spans="1:13">
      <c r="C322" s="6" t="s">
        <v>804</v>
      </c>
      <c r="D322" s="210">
        <f>1-E322</f>
        <v>0</v>
      </c>
      <c r="E322" s="210">
        <f>E316/F316</f>
        <v>1</v>
      </c>
    </row>
    <row r="326" spans="1:13">
      <c r="A326" s="24" t="s">
        <v>1089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9" spans="1:13"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</row>
    <row r="330" spans="1:13"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</row>
    <row r="331" spans="1:13"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</row>
    <row r="332" spans="1:13"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</row>
    <row r="333" spans="1:13">
      <c r="B333" s="197"/>
      <c r="C333" s="197"/>
      <c r="D333" s="197"/>
      <c r="E333" s="197"/>
      <c r="F333" s="197" t="s">
        <v>891</v>
      </c>
      <c r="G333" s="197"/>
      <c r="H333" s="197"/>
      <c r="I333" s="197"/>
      <c r="J333" s="197"/>
      <c r="K333" s="197"/>
      <c r="L333" s="197"/>
    </row>
    <row r="334" spans="1:13"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</row>
    <row r="335" spans="1:13"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</row>
    <row r="336" spans="1:13"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</row>
    <row r="337" spans="2:12"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</row>
    <row r="338" spans="2:12"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</row>
    <row r="340" spans="2:12">
      <c r="B340" s="6" t="s">
        <v>6</v>
      </c>
      <c r="C340" s="198" t="s">
        <v>933</v>
      </c>
      <c r="D340" s="198"/>
      <c r="E340" s="198"/>
      <c r="F340" s="198"/>
      <c r="G340" s="198"/>
      <c r="H340" s="198"/>
    </row>
    <row r="341" spans="2:12">
      <c r="C341" s="198" t="s">
        <v>934</v>
      </c>
      <c r="D341" s="198"/>
      <c r="E341" s="198"/>
      <c r="F341" s="198"/>
      <c r="G341" s="198"/>
      <c r="H341" s="198"/>
    </row>
    <row r="342" spans="2:12">
      <c r="C342" s="198" t="s">
        <v>935</v>
      </c>
      <c r="D342" s="198"/>
      <c r="E342" s="198"/>
      <c r="F342" s="198"/>
      <c r="G342" s="198"/>
      <c r="H342" s="198"/>
    </row>
    <row r="343" spans="2:12">
      <c r="C343" s="198" t="s">
        <v>936</v>
      </c>
      <c r="D343" s="198"/>
      <c r="E343" s="198"/>
      <c r="F343" s="198"/>
      <c r="G343" s="198"/>
      <c r="H343" s="198"/>
    </row>
    <row r="344" spans="2:12">
      <c r="C344" s="198" t="s">
        <v>937</v>
      </c>
      <c r="D344" s="198"/>
      <c r="E344" s="198"/>
      <c r="F344" s="198"/>
      <c r="G344" s="198"/>
      <c r="H344" s="198"/>
    </row>
    <row r="345" spans="2:12">
      <c r="C345" s="198"/>
      <c r="D345" s="198"/>
      <c r="E345" s="198"/>
      <c r="F345" s="198"/>
      <c r="G345" s="198"/>
      <c r="H345" s="198"/>
    </row>
    <row r="346" spans="2:12">
      <c r="C346" s="228" t="s">
        <v>1100</v>
      </c>
      <c r="D346" s="228"/>
      <c r="E346" s="228"/>
      <c r="F346" s="228"/>
      <c r="G346" s="228"/>
      <c r="H346" s="228"/>
    </row>
    <row r="347" spans="2:12">
      <c r="C347" s="228" t="s">
        <v>1101</v>
      </c>
      <c r="D347" s="228"/>
      <c r="E347" s="228"/>
      <c r="F347" s="228"/>
      <c r="G347" s="228"/>
      <c r="H347" s="228"/>
    </row>
    <row r="348" spans="2:12">
      <c r="C348" s="228"/>
      <c r="D348" s="228"/>
      <c r="E348" s="228"/>
      <c r="F348" s="228"/>
      <c r="G348" s="228"/>
      <c r="H348" s="228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507914" r:id="rId3">
          <objectPr defaultSize="0" autoPict="0" r:id="rId4">
            <anchor moveWithCells="1">
              <from>
                <xdr:col>3</xdr:col>
                <xdr:colOff>247650</xdr:colOff>
                <xdr:row>275</xdr:row>
                <xdr:rowOff>57150</xdr:rowOff>
              </from>
              <to>
                <xdr:col>5</xdr:col>
                <xdr:colOff>276225</xdr:colOff>
                <xdr:row>280</xdr:row>
                <xdr:rowOff>57150</xdr:rowOff>
              </to>
            </anchor>
          </objectPr>
        </oleObject>
      </mc:Choice>
      <mc:Fallback>
        <oleObject progId="Equation.DSMT4" shapeId="507914" r:id="rId3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192"/>
  <sheetViews>
    <sheetView workbookViewId="0">
      <selection activeCell="H88" sqref="H88"/>
    </sheetView>
  </sheetViews>
  <sheetFormatPr baseColWidth="10" defaultRowHeight="12.75"/>
  <cols>
    <col min="2" max="2" width="14.85546875" customWidth="1"/>
    <col min="6" max="6" width="11.7109375" customWidth="1"/>
  </cols>
  <sheetData>
    <row r="1" spans="1:53" s="10" customFormat="1" ht="20.25">
      <c r="A1" s="10" t="s">
        <v>984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884</v>
      </c>
    </row>
    <row r="9" spans="1:53">
      <c r="B9" s="6" t="s">
        <v>707</v>
      </c>
      <c r="C9" s="6" t="s">
        <v>800</v>
      </c>
      <c r="D9" s="6" t="s">
        <v>801</v>
      </c>
      <c r="E9" s="6" t="s">
        <v>802</v>
      </c>
    </row>
    <row r="10" spans="1:53">
      <c r="B10" s="208">
        <v>1</v>
      </c>
      <c r="C10" s="209">
        <v>0.34</v>
      </c>
      <c r="D10" s="209">
        <v>0.64</v>
      </c>
      <c r="E10" s="208" t="s">
        <v>803</v>
      </c>
    </row>
    <row r="11" spans="1:53">
      <c r="B11" s="208">
        <f t="shared" ref="B11:B29" si="0">B10+1</f>
        <v>2</v>
      </c>
      <c r="C11" s="209">
        <v>0.4</v>
      </c>
      <c r="D11" s="209">
        <v>0.7</v>
      </c>
      <c r="E11" s="208" t="s">
        <v>803</v>
      </c>
    </row>
    <row r="12" spans="1:53">
      <c r="B12" s="208">
        <f t="shared" si="0"/>
        <v>3</v>
      </c>
      <c r="C12" s="209">
        <v>0.27</v>
      </c>
      <c r="D12" s="209">
        <v>0.72</v>
      </c>
      <c r="E12" s="208" t="s">
        <v>803</v>
      </c>
    </row>
    <row r="13" spans="1:53">
      <c r="B13" s="208">
        <f t="shared" si="0"/>
        <v>4</v>
      </c>
      <c r="C13" s="209">
        <v>0.36</v>
      </c>
      <c r="D13" s="209">
        <v>0.74</v>
      </c>
      <c r="E13" s="208" t="s">
        <v>803</v>
      </c>
    </row>
    <row r="14" spans="1:53">
      <c r="B14" s="208">
        <f t="shared" si="0"/>
        <v>5</v>
      </c>
      <c r="C14" s="209">
        <v>0.38</v>
      </c>
      <c r="D14" s="209">
        <v>0.82</v>
      </c>
      <c r="E14" s="208" t="s">
        <v>803</v>
      </c>
    </row>
    <row r="15" spans="1:53">
      <c r="B15" s="208">
        <f t="shared" si="0"/>
        <v>6</v>
      </c>
      <c r="C15" s="209">
        <v>0.48</v>
      </c>
      <c r="D15" s="209">
        <v>0.82</v>
      </c>
      <c r="E15" s="208" t="s">
        <v>803</v>
      </c>
    </row>
    <row r="16" spans="1:53">
      <c r="B16" s="208">
        <f t="shared" si="0"/>
        <v>7</v>
      </c>
      <c r="C16" s="209">
        <v>0.44</v>
      </c>
      <c r="D16" s="209">
        <v>0.84</v>
      </c>
      <c r="E16" s="208" t="s">
        <v>803</v>
      </c>
    </row>
    <row r="17" spans="2:10">
      <c r="B17" s="208">
        <f t="shared" si="0"/>
        <v>8</v>
      </c>
      <c r="C17" s="209">
        <v>0.38</v>
      </c>
      <c r="D17" s="209">
        <v>0.9</v>
      </c>
      <c r="E17" s="208" t="s">
        <v>803</v>
      </c>
    </row>
    <row r="18" spans="2:10">
      <c r="B18" s="208">
        <f t="shared" si="0"/>
        <v>9</v>
      </c>
      <c r="C18" s="209">
        <v>0.38</v>
      </c>
      <c r="D18" s="209">
        <v>0.79</v>
      </c>
      <c r="E18" s="208" t="s">
        <v>803</v>
      </c>
    </row>
    <row r="19" spans="2:10">
      <c r="B19" s="208">
        <f t="shared" si="0"/>
        <v>10</v>
      </c>
      <c r="C19" s="207">
        <v>0.46</v>
      </c>
      <c r="D19" s="207">
        <v>1.08</v>
      </c>
      <c r="E19" s="208" t="s">
        <v>803</v>
      </c>
    </row>
    <row r="20" spans="2:10">
      <c r="B20" s="205">
        <f t="shared" si="0"/>
        <v>11</v>
      </c>
      <c r="C20" s="74">
        <v>0.22</v>
      </c>
      <c r="D20" s="74">
        <v>0.81</v>
      </c>
      <c r="E20" s="205" t="s">
        <v>804</v>
      </c>
    </row>
    <row r="21" spans="2:10">
      <c r="B21" s="208">
        <f t="shared" si="0"/>
        <v>12</v>
      </c>
      <c r="C21" s="209">
        <v>0.2</v>
      </c>
      <c r="D21" s="209">
        <v>0.86</v>
      </c>
      <c r="E21" s="208" t="s">
        <v>804</v>
      </c>
    </row>
    <row r="22" spans="2:10">
      <c r="B22" s="208">
        <f t="shared" si="0"/>
        <v>13</v>
      </c>
      <c r="C22" s="209">
        <v>0.18</v>
      </c>
      <c r="D22" s="209">
        <v>0.96</v>
      </c>
      <c r="E22" s="208" t="s">
        <v>804</v>
      </c>
    </row>
    <row r="23" spans="2:10">
      <c r="B23" s="208">
        <f t="shared" si="0"/>
        <v>14</v>
      </c>
      <c r="C23" s="209">
        <v>0.3</v>
      </c>
      <c r="D23" s="209">
        <v>0.98</v>
      </c>
      <c r="E23" s="208" t="s">
        <v>804</v>
      </c>
    </row>
    <row r="24" spans="2:10">
      <c r="B24" s="208">
        <f t="shared" si="0"/>
        <v>15</v>
      </c>
      <c r="C24" s="209">
        <v>0.26</v>
      </c>
      <c r="D24" s="209">
        <v>1</v>
      </c>
      <c r="E24" s="208" t="s">
        <v>804</v>
      </c>
    </row>
    <row r="25" spans="2:10">
      <c r="B25" s="208">
        <f t="shared" si="0"/>
        <v>16</v>
      </c>
      <c r="C25" s="209">
        <v>0.28000000000000003</v>
      </c>
      <c r="D25" s="209">
        <v>1</v>
      </c>
      <c r="E25" s="208" t="s">
        <v>804</v>
      </c>
    </row>
    <row r="26" spans="2:10">
      <c r="B26" s="208">
        <f t="shared" si="0"/>
        <v>17</v>
      </c>
      <c r="C26" s="209">
        <v>0.39</v>
      </c>
      <c r="D26" s="209">
        <v>1.2</v>
      </c>
      <c r="E26" s="208" t="s">
        <v>804</v>
      </c>
    </row>
    <row r="27" spans="2:10">
      <c r="B27" s="208">
        <f t="shared" si="0"/>
        <v>18</v>
      </c>
      <c r="C27" s="209">
        <v>0.44</v>
      </c>
      <c r="D27" s="209">
        <v>1.1399999999999999</v>
      </c>
      <c r="E27" s="208" t="s">
        <v>804</v>
      </c>
    </row>
    <row r="28" spans="2:10">
      <c r="B28" s="208">
        <f t="shared" si="0"/>
        <v>19</v>
      </c>
      <c r="C28" s="209">
        <v>0.34</v>
      </c>
      <c r="D28" s="209">
        <v>1.1599999999999999</v>
      </c>
      <c r="E28" s="208" t="s">
        <v>804</v>
      </c>
    </row>
    <row r="29" spans="2:10">
      <c r="B29" s="208">
        <f t="shared" si="0"/>
        <v>20</v>
      </c>
      <c r="C29" s="209">
        <v>0.25</v>
      </c>
      <c r="D29" s="209">
        <v>0.88</v>
      </c>
      <c r="E29" s="208" t="s">
        <v>804</v>
      </c>
    </row>
    <row r="31" spans="2:10">
      <c r="B31" s="6" t="s">
        <v>874</v>
      </c>
      <c r="C31" s="201">
        <v>45</v>
      </c>
      <c r="D31" s="208" t="s">
        <v>875</v>
      </c>
      <c r="E31" s="208"/>
      <c r="F31" s="208"/>
      <c r="G31" s="208"/>
      <c r="H31" s="208"/>
      <c r="I31" s="208"/>
      <c r="J31" s="208"/>
    </row>
    <row r="35" spans="1:13" ht="15.75">
      <c r="A35" s="15" t="s">
        <v>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8" spans="1:13">
      <c r="A38" s="24" t="s">
        <v>873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41" spans="1:13">
      <c r="C41" s="6" t="str">
        <f>C9</f>
        <v>Fühlerlänge: x</v>
      </c>
      <c r="D41" s="6" t="str">
        <f>D9</f>
        <v>Flügellänge: y</v>
      </c>
    </row>
    <row r="42" spans="1:13">
      <c r="B42" s="6" t="s">
        <v>328</v>
      </c>
      <c r="C42" s="168">
        <f>AVERAGE(C10:C29)</f>
        <v>0.33749999999999997</v>
      </c>
      <c r="D42" s="168">
        <f>AVERAGE(D10:D29)</f>
        <v>0.90199999999999991</v>
      </c>
    </row>
    <row r="43" spans="1:13">
      <c r="B43" s="6" t="s">
        <v>396</v>
      </c>
      <c r="C43" s="168">
        <f>_xlfn.STDEV.P(C10:C29)</f>
        <v>8.6421930087218393E-2</v>
      </c>
      <c r="D43" s="168">
        <f>_xlfn.STDEV.P(D10:D29)</f>
        <v>0.15519664944836897</v>
      </c>
    </row>
    <row r="45" spans="1:13">
      <c r="B45" s="6" t="s">
        <v>707</v>
      </c>
      <c r="C45" s="6" t="s">
        <v>566</v>
      </c>
      <c r="D45" s="6" t="s">
        <v>616</v>
      </c>
      <c r="E45" s="6" t="s">
        <v>802</v>
      </c>
    </row>
    <row r="46" spans="1:13">
      <c r="B46" s="208">
        <v>1</v>
      </c>
      <c r="C46" s="168">
        <f t="shared" ref="C46:D61" si="1">STANDARDIZE(C10,C$42,C$43)</f>
        <v>2.8927842707019129E-2</v>
      </c>
      <c r="D46" s="168">
        <f t="shared" si="1"/>
        <v>-1.6881807753663034</v>
      </c>
      <c r="E46" s="208" t="s">
        <v>803</v>
      </c>
    </row>
    <row r="47" spans="1:13">
      <c r="B47" s="208">
        <f t="shared" ref="B47:B65" si="2">B46+1</f>
        <v>2</v>
      </c>
      <c r="C47" s="168">
        <f>STANDARDIZE(C11,C$42,C$43)</f>
        <v>0.72319606767546218</v>
      </c>
      <c r="D47" s="168">
        <f t="shared" si="1"/>
        <v>-1.3015744909312723</v>
      </c>
      <c r="E47" s="208" t="s">
        <v>803</v>
      </c>
    </row>
    <row r="48" spans="1:13">
      <c r="B48" s="208">
        <f t="shared" si="2"/>
        <v>3</v>
      </c>
      <c r="C48" s="168">
        <f t="shared" si="1"/>
        <v>-0.78105175308949792</v>
      </c>
      <c r="D48" s="168">
        <f t="shared" si="1"/>
        <v>-1.1727057294529284</v>
      </c>
      <c r="E48" s="208" t="s">
        <v>803</v>
      </c>
    </row>
    <row r="49" spans="2:5">
      <c r="B49" s="208">
        <f t="shared" si="2"/>
        <v>4</v>
      </c>
      <c r="C49" s="168">
        <f t="shared" si="1"/>
        <v>0.26035058436316638</v>
      </c>
      <c r="D49" s="168">
        <f t="shared" si="1"/>
        <v>-1.0438369679745845</v>
      </c>
      <c r="E49" s="208" t="s">
        <v>803</v>
      </c>
    </row>
    <row r="50" spans="2:5">
      <c r="B50" s="208">
        <f t="shared" si="2"/>
        <v>5</v>
      </c>
      <c r="C50" s="168">
        <f t="shared" si="1"/>
        <v>0.49177332601931428</v>
      </c>
      <c r="D50" s="168">
        <f t="shared" si="1"/>
        <v>-0.52836192206120935</v>
      </c>
      <c r="E50" s="208" t="s">
        <v>803</v>
      </c>
    </row>
    <row r="51" spans="2:5">
      <c r="B51" s="208">
        <f t="shared" si="2"/>
        <v>6</v>
      </c>
      <c r="C51" s="168">
        <f t="shared" si="1"/>
        <v>1.6488870343000526</v>
      </c>
      <c r="D51" s="168">
        <f t="shared" si="1"/>
        <v>-0.52836192206120935</v>
      </c>
      <c r="E51" s="208" t="s">
        <v>803</v>
      </c>
    </row>
    <row r="52" spans="2:5">
      <c r="B52" s="208">
        <f t="shared" si="2"/>
        <v>7</v>
      </c>
      <c r="C52" s="168">
        <f t="shared" si="1"/>
        <v>1.1860415509877573</v>
      </c>
      <c r="D52" s="168">
        <f t="shared" si="1"/>
        <v>-0.39949316058286544</v>
      </c>
      <c r="E52" s="208" t="s">
        <v>803</v>
      </c>
    </row>
    <row r="53" spans="2:5">
      <c r="B53" s="208">
        <f t="shared" si="2"/>
        <v>8</v>
      </c>
      <c r="C53" s="168">
        <f t="shared" si="1"/>
        <v>0.49177332601931428</v>
      </c>
      <c r="D53" s="168">
        <f t="shared" si="1"/>
        <v>-1.2886876147833678E-2</v>
      </c>
      <c r="E53" s="208" t="s">
        <v>803</v>
      </c>
    </row>
    <row r="54" spans="2:5">
      <c r="B54" s="208">
        <f t="shared" si="2"/>
        <v>9</v>
      </c>
      <c r="C54" s="168">
        <f t="shared" si="1"/>
        <v>0.49177332601931428</v>
      </c>
      <c r="D54" s="168">
        <f t="shared" si="1"/>
        <v>-0.72166506427872457</v>
      </c>
      <c r="E54" s="208" t="s">
        <v>803</v>
      </c>
    </row>
    <row r="55" spans="2:5">
      <c r="B55" s="208">
        <f t="shared" si="2"/>
        <v>10</v>
      </c>
      <c r="C55" s="204">
        <f t="shared" si="1"/>
        <v>1.4174642926439052</v>
      </c>
      <c r="D55" s="204">
        <f t="shared" si="1"/>
        <v>1.146931977157261</v>
      </c>
      <c r="E55" s="208" t="s">
        <v>803</v>
      </c>
    </row>
    <row r="56" spans="2:5">
      <c r="B56" s="205">
        <f t="shared" si="2"/>
        <v>11</v>
      </c>
      <c r="C56" s="206">
        <f t="shared" si="1"/>
        <v>-1.3596086072298674</v>
      </c>
      <c r="D56" s="206">
        <f t="shared" si="1"/>
        <v>-0.59279630280038065</v>
      </c>
      <c r="E56" s="205" t="s">
        <v>804</v>
      </c>
    </row>
    <row r="57" spans="2:5">
      <c r="B57" s="208">
        <f t="shared" si="2"/>
        <v>12</v>
      </c>
      <c r="C57" s="168">
        <f t="shared" si="1"/>
        <v>-1.5910313488860148</v>
      </c>
      <c r="D57" s="168">
        <f t="shared" si="1"/>
        <v>-0.27062439910452152</v>
      </c>
      <c r="E57" s="208" t="s">
        <v>804</v>
      </c>
    </row>
    <row r="58" spans="2:5">
      <c r="B58" s="208">
        <f t="shared" si="2"/>
        <v>13</v>
      </c>
      <c r="C58" s="168">
        <f t="shared" si="1"/>
        <v>-1.8224540905421629</v>
      </c>
      <c r="D58" s="168">
        <f t="shared" si="1"/>
        <v>0.37371940828719741</v>
      </c>
      <c r="E58" s="208" t="s">
        <v>804</v>
      </c>
    </row>
    <row r="59" spans="2:5">
      <c r="B59" s="208">
        <f t="shared" si="2"/>
        <v>14</v>
      </c>
      <c r="C59" s="168">
        <f t="shared" si="1"/>
        <v>-0.43391764060527666</v>
      </c>
      <c r="D59" s="168">
        <f t="shared" si="1"/>
        <v>0.50258816976554133</v>
      </c>
      <c r="E59" s="208" t="s">
        <v>804</v>
      </c>
    </row>
    <row r="60" spans="2:5">
      <c r="B60" s="208">
        <f t="shared" si="2"/>
        <v>15</v>
      </c>
      <c r="C60" s="168">
        <f t="shared" si="1"/>
        <v>-0.89676312391757185</v>
      </c>
      <c r="D60" s="168">
        <f t="shared" si="1"/>
        <v>0.63145693124388524</v>
      </c>
      <c r="E60" s="208" t="s">
        <v>804</v>
      </c>
    </row>
    <row r="61" spans="2:5">
      <c r="B61" s="208">
        <f t="shared" si="2"/>
        <v>16</v>
      </c>
      <c r="C61" s="168">
        <f t="shared" si="1"/>
        <v>-0.66534038226142389</v>
      </c>
      <c r="D61" s="168">
        <f t="shared" si="1"/>
        <v>0.63145693124388524</v>
      </c>
      <c r="E61" s="208" t="s">
        <v>804</v>
      </c>
    </row>
    <row r="62" spans="2:5">
      <c r="B62" s="208">
        <f t="shared" si="2"/>
        <v>17</v>
      </c>
      <c r="C62" s="168">
        <f t="shared" ref="C62:D65" si="3">STANDARDIZE(C26,C$42,C$43)</f>
        <v>0.60748469684738826</v>
      </c>
      <c r="D62" s="168">
        <f t="shared" si="3"/>
        <v>1.920144546027323</v>
      </c>
      <c r="E62" s="208" t="s">
        <v>804</v>
      </c>
    </row>
    <row r="63" spans="2:5">
      <c r="B63" s="208">
        <f t="shared" si="2"/>
        <v>18</v>
      </c>
      <c r="C63" s="168">
        <f t="shared" si="3"/>
        <v>1.1860415509877573</v>
      </c>
      <c r="D63" s="168">
        <f t="shared" si="3"/>
        <v>1.5335382615922912</v>
      </c>
      <c r="E63" s="208" t="s">
        <v>804</v>
      </c>
    </row>
    <row r="64" spans="2:5">
      <c r="B64" s="208">
        <f t="shared" si="2"/>
        <v>19</v>
      </c>
      <c r="C64" s="168">
        <f t="shared" si="3"/>
        <v>2.8927842707019129E-2</v>
      </c>
      <c r="D64" s="168">
        <f t="shared" si="3"/>
        <v>1.6624070230706351</v>
      </c>
      <c r="E64" s="208" t="s">
        <v>804</v>
      </c>
    </row>
    <row r="65" spans="1:13">
      <c r="B65" s="208">
        <f t="shared" si="2"/>
        <v>20</v>
      </c>
      <c r="C65" s="168">
        <f t="shared" si="3"/>
        <v>-1.0124744947456459</v>
      </c>
      <c r="D65" s="168">
        <f t="shared" si="3"/>
        <v>-0.1417556376261776</v>
      </c>
      <c r="E65" s="208" t="s">
        <v>804</v>
      </c>
    </row>
    <row r="69" spans="1:13">
      <c r="A69" s="24" t="s">
        <v>940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2" spans="1:13">
      <c r="C72" s="6" t="s">
        <v>941</v>
      </c>
      <c r="D72" s="6" t="s">
        <v>942</v>
      </c>
    </row>
    <row r="73" spans="1:13">
      <c r="C73" s="168">
        <f>AVERAGE(C46:C55)</f>
        <v>0.59591355976458071</v>
      </c>
      <c r="D73" s="168">
        <f>AVERAGE(D46:D55)</f>
        <v>-0.6250134931699669</v>
      </c>
    </row>
    <row r="74" spans="1:13">
      <c r="C74" s="6" t="s">
        <v>943</v>
      </c>
      <c r="D74" s="6" t="s">
        <v>944</v>
      </c>
    </row>
    <row r="75" spans="1:13">
      <c r="C75" s="168">
        <f>_xlfn.STDEV.P(C46:C55)</f>
        <v>0.67162452152072727</v>
      </c>
      <c r="D75" s="168">
        <f>_xlfn.STDEV.P(D46:D55)</f>
        <v>0.75211788214616182</v>
      </c>
    </row>
    <row r="77" spans="1:13">
      <c r="C77" s="6" t="s">
        <v>945</v>
      </c>
      <c r="D77" s="6" t="s">
        <v>946</v>
      </c>
    </row>
    <row r="78" spans="1:13">
      <c r="C78" s="168">
        <f>AVERAGE(C56:C65)</f>
        <v>-0.59591355976457994</v>
      </c>
      <c r="D78" s="168">
        <f>AVERAGE(D56:D65)</f>
        <v>0.6250134931699679</v>
      </c>
    </row>
    <row r="79" spans="1:13">
      <c r="C79" s="6" t="s">
        <v>943</v>
      </c>
      <c r="D79" s="6" t="s">
        <v>944</v>
      </c>
    </row>
    <row r="80" spans="1:13">
      <c r="C80" s="168">
        <f>_xlfn.STDEV.P(C56:C65)</f>
        <v>0.91580268653758001</v>
      </c>
      <c r="D80" s="168">
        <f>_xlfn.STDEV.P(D56:D65)</f>
        <v>0.80810578395834309</v>
      </c>
    </row>
    <row r="84" spans="1:13">
      <c r="A84" s="24" t="s">
        <v>952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7" spans="1:13">
      <c r="B87" s="241" t="s">
        <v>338</v>
      </c>
      <c r="C87" s="208" t="s">
        <v>957</v>
      </c>
      <c r="D87" s="208"/>
      <c r="E87" s="208"/>
      <c r="F87" s="208"/>
    </row>
    <row r="88" spans="1:13">
      <c r="B88" s="241"/>
      <c r="C88" s="6" t="s">
        <v>955</v>
      </c>
    </row>
    <row r="89" spans="1:13">
      <c r="B89" s="6" t="s">
        <v>256</v>
      </c>
      <c r="C89" s="209">
        <v>-1.3815182091165441</v>
      </c>
      <c r="D89" t="s">
        <v>959</v>
      </c>
    </row>
    <row r="90" spans="1:13">
      <c r="B90" s="6" t="s">
        <v>708</v>
      </c>
      <c r="C90" s="209">
        <v>1.3972191490897454</v>
      </c>
      <c r="D90" t="s">
        <v>960</v>
      </c>
    </row>
    <row r="91" spans="1:13">
      <c r="B91" s="6" t="s">
        <v>958</v>
      </c>
      <c r="C91" s="8">
        <f>SQRT(SUMSQ(C89:C90))</f>
        <v>1.9648953948502337</v>
      </c>
      <c r="D91" t="s">
        <v>961</v>
      </c>
    </row>
    <row r="93" spans="1:13">
      <c r="B93" s="6" t="s">
        <v>953</v>
      </c>
      <c r="C93" s="168">
        <f t="array" ref="C93:C94">-C89:C90/C91</f>
        <v>0.70310013079441558</v>
      </c>
      <c r="D93" s="257" t="s">
        <v>1226</v>
      </c>
      <c r="E93" s="258"/>
      <c r="F93" s="258"/>
    </row>
    <row r="94" spans="1:13">
      <c r="B94" s="6" t="s">
        <v>954</v>
      </c>
      <c r="C94" s="168">
        <v>-0.71109085641489989</v>
      </c>
      <c r="D94" s="257"/>
      <c r="E94" s="258"/>
      <c r="F94" s="258"/>
    </row>
    <row r="95" spans="1:13">
      <c r="B95" s="6" t="s">
        <v>1090</v>
      </c>
      <c r="C95" s="168">
        <f>SQRT(SUMSQ(C93:C94))</f>
        <v>1</v>
      </c>
    </row>
    <row r="97" spans="1:13">
      <c r="B97" s="6" t="s">
        <v>6</v>
      </c>
      <c r="C97" s="209" t="s">
        <v>947</v>
      </c>
      <c r="D97" s="209"/>
      <c r="E97" s="209"/>
      <c r="F97" s="209"/>
      <c r="G97" s="209"/>
      <c r="H97" s="209"/>
      <c r="I97" s="209"/>
    </row>
    <row r="98" spans="1:13">
      <c r="C98" s="209" t="s">
        <v>948</v>
      </c>
      <c r="D98" s="209"/>
      <c r="E98" s="209"/>
      <c r="F98" s="209"/>
      <c r="G98" s="209"/>
      <c r="H98" s="209"/>
      <c r="I98" s="209"/>
    </row>
    <row r="99" spans="1:13">
      <c r="C99" s="209" t="s">
        <v>949</v>
      </c>
      <c r="D99" s="209"/>
      <c r="E99" s="209"/>
      <c r="F99" s="209"/>
      <c r="G99" s="209"/>
      <c r="H99" s="209"/>
      <c r="I99" s="209"/>
    </row>
    <row r="100" spans="1:13">
      <c r="C100" s="209" t="s">
        <v>950</v>
      </c>
      <c r="D100" s="209"/>
      <c r="E100" s="209"/>
      <c r="F100" s="209"/>
      <c r="G100" s="209"/>
      <c r="H100" s="209"/>
      <c r="I100" s="209"/>
    </row>
    <row r="101" spans="1:13">
      <c r="C101" s="209" t="s">
        <v>951</v>
      </c>
      <c r="D101" s="209"/>
      <c r="E101" s="209"/>
      <c r="F101" s="209"/>
      <c r="G101" s="209"/>
      <c r="H101" s="209"/>
      <c r="I101" s="209"/>
    </row>
    <row r="102" spans="1:13">
      <c r="C102" s="209"/>
      <c r="D102" s="209"/>
      <c r="E102" s="209"/>
      <c r="F102" s="209"/>
      <c r="G102" s="209"/>
      <c r="H102" s="209"/>
      <c r="I102" s="209"/>
    </row>
    <row r="103" spans="1:13">
      <c r="C103" s="209"/>
      <c r="D103" s="209"/>
      <c r="E103" s="209"/>
      <c r="F103" s="209"/>
      <c r="G103" s="209"/>
      <c r="H103" s="209"/>
      <c r="I103" s="209"/>
    </row>
    <row r="107" spans="1:13">
      <c r="A107" s="24" t="s">
        <v>962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10" spans="1:13">
      <c r="B110" s="6" t="s">
        <v>874</v>
      </c>
      <c r="C110" s="168">
        <f>DEGREES(ACOS(C93))</f>
        <v>45.323739852059674</v>
      </c>
      <c r="D110" t="s">
        <v>963</v>
      </c>
    </row>
    <row r="114" spans="1:13">
      <c r="A114" s="24" t="s">
        <v>964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7" spans="1:13">
      <c r="B117" s="6" t="s">
        <v>965</v>
      </c>
    </row>
    <row r="118" spans="1:13">
      <c r="B118" s="168">
        <f>(C73^2+C78^2)*COUNTA(B46:B55)</f>
        <v>7.1022594142258813</v>
      </c>
      <c r="C118" s="168">
        <f>(C73*D73+C78*D78)*COUNTA(B46:B55)</f>
        <v>-7.4490803123162097</v>
      </c>
      <c r="D118" t="s">
        <v>968</v>
      </c>
    </row>
    <row r="119" spans="1:13">
      <c r="B119" s="168">
        <f>C118</f>
        <v>-7.4490803123162097</v>
      </c>
      <c r="C119" s="168">
        <f>(D73^2+D78^2)*COUNTA(B46:B55)</f>
        <v>7.8128373328904974</v>
      </c>
    </row>
    <row r="123" spans="1:13">
      <c r="A123" s="24" t="s">
        <v>966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6" spans="1:13">
      <c r="B126" s="6" t="s">
        <v>969</v>
      </c>
    </row>
    <row r="127" spans="1:13">
      <c r="B127" s="168">
        <f>(C75^2+C80^2)*COUNTA(B46:B55)</f>
        <v>12.897740585773949</v>
      </c>
      <c r="C127" s="168">
        <f>(_xlfn.COVARIANCE.P(C46:C55,D46:D55)+_xlfn.COVARIANCE.P(C56:C65,D56:D65))*COUNTA(B46:B55)</f>
        <v>9.2906605716917507</v>
      </c>
      <c r="D127" t="s">
        <v>967</v>
      </c>
    </row>
    <row r="128" spans="1:13">
      <c r="B128" s="168">
        <f>C127</f>
        <v>9.2906605716917507</v>
      </c>
      <c r="C128" s="168">
        <f>(D75^2+D80^2)*COUNTA(B46:B55)</f>
        <v>12.187162667109561</v>
      </c>
    </row>
    <row r="132" spans="1:13">
      <c r="A132" s="24" t="s">
        <v>970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5" spans="1:13" ht="14.25">
      <c r="B135" s="6" t="s">
        <v>971</v>
      </c>
    </row>
    <row r="136" spans="1:13">
      <c r="B136" s="168">
        <f t="array" ref="B136:C137">MINVERSE(B127:C128)</f>
        <v>0.17196385817143101</v>
      </c>
      <c r="C136" s="168">
        <v>-0.13109350227851058</v>
      </c>
    </row>
    <row r="137" spans="1:13">
      <c r="B137" s="168">
        <v>-0.13109350227851058</v>
      </c>
      <c r="C137" s="168">
        <v>0.18199028710839163</v>
      </c>
    </row>
    <row r="141" spans="1:13">
      <c r="A141" s="24" t="s">
        <v>972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4" spans="1:13">
      <c r="B144" s="6" t="s">
        <v>973</v>
      </c>
    </row>
    <row r="145" spans="1:13">
      <c r="B145" s="168">
        <f t="array" ref="B145:C146">MMULT(B118:C119,B136:C137)</f>
        <v>2.1978579575000836</v>
      </c>
      <c r="C145" s="168">
        <v>-2.2867203254332882</v>
      </c>
      <c r="D145" s="9" t="s">
        <v>976</v>
      </c>
    </row>
    <row r="146" spans="1:13">
      <c r="B146" s="168">
        <v>-2.3051847990356569</v>
      </c>
      <c r="C146" s="168">
        <v>2.3983865362393355</v>
      </c>
    </row>
    <row r="150" spans="1:13">
      <c r="A150" s="24" t="s">
        <v>974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3" spans="1:13">
      <c r="B153" s="6" t="s">
        <v>975</v>
      </c>
    </row>
    <row r="154" spans="1:13">
      <c r="B154" s="6" t="s">
        <v>977</v>
      </c>
      <c r="C154" s="209">
        <v>4.5962399999999999</v>
      </c>
    </row>
    <row r="155" spans="1:13">
      <c r="B155" s="6" t="s">
        <v>978</v>
      </c>
      <c r="C155" s="209" t="s">
        <v>980</v>
      </c>
      <c r="D155" s="209"/>
      <c r="E155" s="209"/>
    </row>
    <row r="157" spans="1:13">
      <c r="B157" s="125" t="s">
        <v>560</v>
      </c>
      <c r="C157" s="209" t="s">
        <v>947</v>
      </c>
      <c r="D157" s="209"/>
      <c r="E157" s="209"/>
      <c r="F157" s="209"/>
      <c r="G157" s="209"/>
      <c r="H157" s="209"/>
      <c r="I157" s="209"/>
    </row>
    <row r="158" spans="1:13">
      <c r="C158" s="209" t="s">
        <v>948</v>
      </c>
      <c r="D158" s="209"/>
      <c r="E158" s="209"/>
      <c r="F158" s="209"/>
      <c r="G158" s="209"/>
      <c r="H158" s="209"/>
      <c r="I158" s="209"/>
    </row>
    <row r="159" spans="1:13">
      <c r="C159" s="209" t="s">
        <v>949</v>
      </c>
      <c r="D159" s="209"/>
      <c r="E159" s="209"/>
      <c r="F159" s="209"/>
      <c r="G159" s="209"/>
      <c r="H159" s="209"/>
      <c r="I159" s="209"/>
    </row>
    <row r="160" spans="1:13">
      <c r="C160" s="209" t="s">
        <v>950</v>
      </c>
      <c r="D160" s="209"/>
      <c r="E160" s="209"/>
      <c r="F160" s="209"/>
      <c r="G160" s="209"/>
      <c r="H160" s="209"/>
      <c r="I160" s="209"/>
    </row>
    <row r="161" spans="1:13">
      <c r="C161" s="209" t="s">
        <v>979</v>
      </c>
      <c r="D161" s="209"/>
      <c r="E161" s="209"/>
      <c r="F161" s="209"/>
      <c r="G161" s="209"/>
      <c r="H161" s="209"/>
      <c r="I161" s="209"/>
    </row>
    <row r="162" spans="1:13">
      <c r="C162" s="209"/>
      <c r="D162" s="209"/>
      <c r="E162" s="209"/>
      <c r="F162" s="209"/>
      <c r="G162" s="209"/>
      <c r="H162" s="209"/>
      <c r="I162" s="209"/>
    </row>
    <row r="163" spans="1:13">
      <c r="C163" s="209"/>
      <c r="D163" s="209"/>
      <c r="E163" s="209"/>
      <c r="F163" s="209"/>
      <c r="G163" s="209"/>
      <c r="H163" s="209"/>
      <c r="I163" s="209"/>
    </row>
    <row r="167" spans="1:13">
      <c r="A167" s="24" t="s">
        <v>981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70" spans="1:13">
      <c r="B170" s="6" t="str">
        <f>B117</f>
        <v>B-Matrix</v>
      </c>
    </row>
    <row r="171" spans="1:13">
      <c r="B171" s="172">
        <f>B118</f>
        <v>7.1022594142258813</v>
      </c>
      <c r="C171" s="172">
        <f>C118</f>
        <v>-7.4490803123162097</v>
      </c>
      <c r="D171" s="6" t="s">
        <v>274</v>
      </c>
    </row>
    <row r="172" spans="1:13">
      <c r="B172" s="172">
        <f>B119</f>
        <v>-7.4490803123162097</v>
      </c>
      <c r="C172" s="172">
        <f>C119</f>
        <v>7.8128373328904974</v>
      </c>
      <c r="D172" s="8">
        <f t="array" ref="D172">MDETERM(B171:C172)</f>
        <v>0</v>
      </c>
    </row>
    <row r="174" spans="1:13">
      <c r="B174" s="6" t="str">
        <f>B126</f>
        <v>W-Matrix</v>
      </c>
    </row>
    <row r="175" spans="1:13">
      <c r="B175" s="172">
        <f>B127</f>
        <v>12.897740585773949</v>
      </c>
      <c r="C175" s="172">
        <f>C127</f>
        <v>9.2906605716917507</v>
      </c>
      <c r="D175" s="6" t="s">
        <v>274</v>
      </c>
    </row>
    <row r="176" spans="1:13">
      <c r="B176" s="172">
        <f>B128</f>
        <v>9.2906605716917507</v>
      </c>
      <c r="C176" s="172">
        <f>C128</f>
        <v>12.187162667109561</v>
      </c>
      <c r="D176" s="168">
        <f t="array" ref="D176">MDETERM(B175:C176)</f>
        <v>70.870488698620392</v>
      </c>
    </row>
    <row r="178" spans="1:13">
      <c r="B178" s="6" t="s">
        <v>982</v>
      </c>
    </row>
    <row r="179" spans="1:13">
      <c r="B179" s="168">
        <f t="array" ref="B179:C180">B171:C172+B175:C176</f>
        <v>19.999999999999829</v>
      </c>
      <c r="C179" s="168">
        <v>1.841580259375541</v>
      </c>
      <c r="D179" s="6" t="s">
        <v>274</v>
      </c>
    </row>
    <row r="180" spans="1:13">
      <c r="B180" s="168">
        <v>1.841580259375541</v>
      </c>
      <c r="C180" s="168">
        <v>20.000000000000057</v>
      </c>
      <c r="D180" s="168">
        <f t="array" ref="D180">MDETERM(B179:C180)</f>
        <v>396.60858214827601</v>
      </c>
    </row>
    <row r="184" spans="1:13">
      <c r="A184" s="24" t="s">
        <v>985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7" spans="1:13">
      <c r="B187" s="6" t="s">
        <v>897</v>
      </c>
      <c r="C187" s="168">
        <f>D176/D180</f>
        <v>0.1786912635998501</v>
      </c>
    </row>
    <row r="188" spans="1:13">
      <c r="D188" s="9" t="s">
        <v>983</v>
      </c>
    </row>
    <row r="189" spans="1:13">
      <c r="B189" s="6" t="s">
        <v>898</v>
      </c>
      <c r="C189" s="168">
        <f>1-C187</f>
        <v>0.8213087364001499</v>
      </c>
    </row>
    <row r="192" spans="1:13">
      <c r="A192" s="9" t="s">
        <v>986</v>
      </c>
    </row>
  </sheetData>
  <mergeCells count="2">
    <mergeCell ref="B87:B88"/>
    <mergeCell ref="D93:F9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504"/>
  <sheetViews>
    <sheetView zoomScaleNormal="100" workbookViewId="0"/>
  </sheetViews>
  <sheetFormatPr baseColWidth="10" defaultRowHeight="12.75"/>
  <cols>
    <col min="2" max="2" width="18.85546875" customWidth="1"/>
    <col min="4" max="5" width="13" bestFit="1" customWidth="1"/>
  </cols>
  <sheetData>
    <row r="1" spans="1:53" s="10" customFormat="1" ht="20.25">
      <c r="A1" s="10" t="s">
        <v>939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B7" s="6" t="s">
        <v>987</v>
      </c>
    </row>
    <row r="8" spans="1:53">
      <c r="B8" s="6"/>
      <c r="C8" s="6" t="s">
        <v>533</v>
      </c>
      <c r="D8" s="6" t="s">
        <v>534</v>
      </c>
      <c r="E8" s="6" t="s">
        <v>611</v>
      </c>
    </row>
    <row r="9" spans="1:53">
      <c r="B9" s="94" t="s">
        <v>988</v>
      </c>
      <c r="C9" s="214">
        <v>4.45</v>
      </c>
      <c r="D9" s="214">
        <v>6.99</v>
      </c>
      <c r="E9" s="217">
        <v>8.6999999999999993</v>
      </c>
    </row>
    <row r="10" spans="1:53">
      <c r="B10" s="212" t="s">
        <v>988</v>
      </c>
      <c r="C10" s="215">
        <v>4.63</v>
      </c>
      <c r="D10" s="215">
        <v>5.13</v>
      </c>
      <c r="E10" s="218">
        <v>9.65</v>
      </c>
    </row>
    <row r="11" spans="1:53">
      <c r="B11" s="212" t="s">
        <v>988</v>
      </c>
      <c r="C11" s="215">
        <v>5.57</v>
      </c>
      <c r="D11" s="215">
        <v>6.66</v>
      </c>
      <c r="E11" s="218">
        <v>8.8000000000000007</v>
      </c>
    </row>
    <row r="12" spans="1:53">
      <c r="B12" s="212" t="s">
        <v>988</v>
      </c>
      <c r="C12" s="215">
        <v>4.97</v>
      </c>
      <c r="D12" s="215">
        <v>5.45</v>
      </c>
      <c r="E12" s="218">
        <v>8.94</v>
      </c>
    </row>
    <row r="13" spans="1:53">
      <c r="B13" s="212" t="s">
        <v>988</v>
      </c>
      <c r="C13" s="215">
        <v>5.7</v>
      </c>
      <c r="D13" s="215">
        <v>6.7700000000000005</v>
      </c>
      <c r="E13" s="218">
        <v>11.3</v>
      </c>
    </row>
    <row r="14" spans="1:53">
      <c r="B14" s="213" t="s">
        <v>988</v>
      </c>
      <c r="C14" s="216">
        <v>7.36</v>
      </c>
      <c r="D14" s="216">
        <v>7.8199999999999994</v>
      </c>
      <c r="E14" s="219">
        <v>9.66</v>
      </c>
    </row>
    <row r="15" spans="1:53">
      <c r="B15" s="94" t="s">
        <v>989</v>
      </c>
      <c r="C15" s="214">
        <v>7.42</v>
      </c>
      <c r="D15" s="214">
        <v>9.24</v>
      </c>
      <c r="E15" s="217">
        <v>12.1</v>
      </c>
    </row>
    <row r="16" spans="1:53">
      <c r="B16" s="212" t="s">
        <v>989</v>
      </c>
      <c r="C16" s="215">
        <v>6.18</v>
      </c>
      <c r="D16" s="215">
        <v>9.67</v>
      </c>
      <c r="E16" s="218">
        <v>13.1</v>
      </c>
    </row>
    <row r="17" spans="1:13">
      <c r="B17" s="212" t="s">
        <v>989</v>
      </c>
      <c r="C17" s="215">
        <v>5.87</v>
      </c>
      <c r="D17" s="215">
        <v>7.42</v>
      </c>
      <c r="E17" s="218">
        <v>9.2200000000000006</v>
      </c>
    </row>
    <row r="18" spans="1:13">
      <c r="B18" s="212" t="s">
        <v>989</v>
      </c>
      <c r="C18" s="215">
        <v>5.39</v>
      </c>
      <c r="D18" s="215">
        <v>7.15</v>
      </c>
      <c r="E18" s="218">
        <v>11.34</v>
      </c>
    </row>
    <row r="19" spans="1:13">
      <c r="B19" s="212" t="s">
        <v>989</v>
      </c>
      <c r="C19" s="215">
        <v>4.7699999999999996</v>
      </c>
      <c r="D19" s="215">
        <v>7.33</v>
      </c>
      <c r="E19" s="218">
        <v>11.1</v>
      </c>
    </row>
    <row r="20" spans="1:13">
      <c r="B20" s="213" t="s">
        <v>989</v>
      </c>
      <c r="C20" s="216">
        <v>4.9400000000000004</v>
      </c>
      <c r="D20" s="216">
        <v>7.96</v>
      </c>
      <c r="E20" s="219">
        <v>10.82</v>
      </c>
    </row>
    <row r="21" spans="1:13">
      <c r="B21" s="94" t="s">
        <v>990</v>
      </c>
      <c r="C21" s="214">
        <v>7.8717342995918216</v>
      </c>
      <c r="D21" s="214">
        <v>8.7272690908018653</v>
      </c>
      <c r="E21" s="217">
        <v>9.8472690908018645</v>
      </c>
    </row>
    <row r="22" spans="1:13">
      <c r="B22" s="212" t="s">
        <v>990</v>
      </c>
      <c r="C22" s="215">
        <v>6.2103638228283717</v>
      </c>
      <c r="D22" s="215">
        <v>8.7758728924649994</v>
      </c>
      <c r="E22" s="218">
        <v>9.8958728924649986</v>
      </c>
    </row>
    <row r="23" spans="1:13">
      <c r="B23" s="212" t="s">
        <v>990</v>
      </c>
      <c r="C23" s="215">
        <v>7.3382852957125495</v>
      </c>
      <c r="D23" s="215">
        <v>6.5605476400346792</v>
      </c>
      <c r="E23" s="218">
        <v>7.6805476400346784</v>
      </c>
    </row>
    <row r="24" spans="1:13">
      <c r="B24" s="212" t="s">
        <v>990</v>
      </c>
      <c r="C24" s="215">
        <v>6.1242881881075153</v>
      </c>
      <c r="D24" s="215">
        <v>6.637712181553967</v>
      </c>
      <c r="E24" s="218">
        <v>7.7577121815539662</v>
      </c>
    </row>
    <row r="25" spans="1:13">
      <c r="B25" s="212" t="s">
        <v>990</v>
      </c>
      <c r="C25" s="215">
        <v>5.6603305381258417</v>
      </c>
      <c r="D25" s="215">
        <v>7.2937550075112707</v>
      </c>
      <c r="E25" s="218">
        <v>8.4137550075112699</v>
      </c>
    </row>
    <row r="26" spans="1:13">
      <c r="B26" s="213" t="s">
        <v>990</v>
      </c>
      <c r="C26" s="216">
        <v>5.5463355129630765</v>
      </c>
      <c r="D26" s="216">
        <v>8.5084313940498735</v>
      </c>
      <c r="E26" s="219">
        <v>9.6284313940498727</v>
      </c>
    </row>
    <row r="30" spans="1:13" ht="15.75">
      <c r="A30" s="15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3" spans="1:13">
      <c r="A33" s="208" t="s">
        <v>991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</row>
    <row r="34" spans="1:13">
      <c r="A34" s="24" t="s">
        <v>992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7" spans="1:13">
      <c r="B37" s="6" t="s">
        <v>993</v>
      </c>
      <c r="C37" s="168">
        <f>AVERAGE(C9:C26)</f>
        <v>5.8889632031849546</v>
      </c>
      <c r="D37" s="168">
        <f>AVERAGE(D9:D26)</f>
        <v>7.4496437892453695</v>
      </c>
      <c r="E37" s="168">
        <f>AVERAGE(E9:E26)</f>
        <v>9.8863104559120352</v>
      </c>
    </row>
    <row r="38" spans="1:13">
      <c r="B38" s="6" t="s">
        <v>994</v>
      </c>
      <c r="C38" s="168">
        <f>_xlfn.STDEV.P(C9:C26)</f>
        <v>0.99979050745449483</v>
      </c>
      <c r="D38" s="168">
        <f>_xlfn.STDEV.P(D9:D26)</f>
        <v>1.1855678313124705</v>
      </c>
      <c r="E38" s="168">
        <f>_xlfn.STDEV.P(E9:E26)</f>
        <v>1.4405161859814699</v>
      </c>
    </row>
    <row r="39" spans="1:13">
      <c r="B39" s="6" t="s">
        <v>997</v>
      </c>
      <c r="C39" s="8">
        <f>COUNTA(C9:C14)</f>
        <v>6</v>
      </c>
      <c r="D39" s="8">
        <f>COUNTA(D9:D14)</f>
        <v>6</v>
      </c>
      <c r="E39" s="8">
        <f>COUNTA(E9:E14)</f>
        <v>6</v>
      </c>
    </row>
    <row r="40" spans="1:13">
      <c r="B40" s="6" t="s">
        <v>995</v>
      </c>
      <c r="C40" s="8">
        <f>COUNTA(B9:B26)/COUNTA(B9:B14)</f>
        <v>3</v>
      </c>
    </row>
    <row r="41" spans="1:13">
      <c r="B41" s="6" t="s">
        <v>996</v>
      </c>
      <c r="C41" s="8">
        <f>COUNTA(C8:E8)</f>
        <v>3</v>
      </c>
    </row>
    <row r="45" spans="1:13">
      <c r="A45" s="24" t="s">
        <v>998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8" spans="1:13">
      <c r="B48" s="6" t="s">
        <v>999</v>
      </c>
      <c r="C48" s="168">
        <f>AVERAGE(C9:C14)</f>
        <v>5.4466666666666663</v>
      </c>
      <c r="D48" s="168">
        <f>AVERAGE(D9:D14)</f>
        <v>6.47</v>
      </c>
      <c r="E48" s="168">
        <f>AVERAGE(E9:E14)</f>
        <v>9.5083333333333329</v>
      </c>
    </row>
    <row r="49" spans="1:13">
      <c r="B49" s="6" t="s">
        <v>1000</v>
      </c>
      <c r="C49" s="168">
        <f>AVERAGE(C15:C20)</f>
        <v>5.7616666666666667</v>
      </c>
      <c r="D49" s="168">
        <f>AVERAGE(D15:D20)</f>
        <v>8.1283333333333321</v>
      </c>
      <c r="E49" s="168">
        <f>AVERAGE(E15:E20)</f>
        <v>11.280000000000001</v>
      </c>
    </row>
    <row r="50" spans="1:13">
      <c r="B50" s="6" t="s">
        <v>1001</v>
      </c>
      <c r="C50" s="168">
        <f>AVERAGE(C21:C26)</f>
        <v>6.4585562762215289</v>
      </c>
      <c r="D50" s="168">
        <f>AVERAGE(D21:D26)</f>
        <v>7.7505980344027749</v>
      </c>
      <c r="E50" s="168">
        <f>AVERAGE(E21:E26)</f>
        <v>8.8705980344027751</v>
      </c>
    </row>
    <row r="54" spans="1:13">
      <c r="A54" s="24" t="s">
        <v>1005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7" spans="1:13">
      <c r="B57" s="6" t="s">
        <v>1002</v>
      </c>
    </row>
    <row r="58" spans="1:13">
      <c r="B58" s="168">
        <f t="array" ref="B58:D60">MMULT(TRANSPOSE(C9:E14),C9:E14)-C39*MMULT(TRANSPOSE(C48:E48),C48:E48)</f>
        <v>5.6277333333333672</v>
      </c>
      <c r="C58" s="168">
        <v>3.744700000000023</v>
      </c>
      <c r="D58" s="168">
        <v>1.6175666666667325</v>
      </c>
    </row>
    <row r="59" spans="1:13">
      <c r="B59" s="168">
        <v>3.744700000000023</v>
      </c>
      <c r="C59" s="168">
        <v>5.0550000000000068</v>
      </c>
      <c r="D59" s="168">
        <v>0.57720000000000482</v>
      </c>
    </row>
    <row r="60" spans="1:13">
      <c r="B60" s="168">
        <v>1.6175666666667325</v>
      </c>
      <c r="C60" s="168">
        <v>0.57720000000000482</v>
      </c>
      <c r="D60" s="168">
        <v>4.7312833333334083</v>
      </c>
    </row>
    <row r="62" spans="1:13">
      <c r="B62" s="6" t="s">
        <v>1003</v>
      </c>
    </row>
    <row r="63" spans="1:13">
      <c r="B63" s="168">
        <f t="array" ref="B63:D65">MMULT(TRANSPOSE(C15:E20),C15:E20)-C39*MMULT(TRANSPOSE(C49:E49),C49:E49)</f>
        <v>4.7334833333333393</v>
      </c>
      <c r="C63" s="168">
        <v>3.7053166666667039</v>
      </c>
      <c r="D63" s="168">
        <v>2.4321999999999662</v>
      </c>
    </row>
    <row r="64" spans="1:13">
      <c r="B64" s="168">
        <v>3.7053166666667039</v>
      </c>
      <c r="C64" s="168">
        <v>5.7370833333334872</v>
      </c>
      <c r="D64" s="168">
        <v>5.3390000000000555</v>
      </c>
    </row>
    <row r="65" spans="1:13">
      <c r="B65" s="168">
        <v>2.4321999999999662</v>
      </c>
      <c r="C65" s="168">
        <v>5.3390000000000555</v>
      </c>
      <c r="D65" s="168">
        <v>8.4759999999998854</v>
      </c>
    </row>
    <row r="67" spans="1:13">
      <c r="B67" s="6" t="s">
        <v>1004</v>
      </c>
    </row>
    <row r="68" spans="1:13">
      <c r="B68" s="168">
        <f t="array" ref="B68:D70">MMULT(TRANSPOSE(C21:E26),C21:E26)-C39*MMULT(TRANSPOSE(C50:E50),C50:E50)</f>
        <v>4.4136409720024119</v>
      </c>
      <c r="C68" s="168">
        <v>0.12417748685317065</v>
      </c>
      <c r="D68" s="168">
        <v>0.12417748685317065</v>
      </c>
    </row>
    <row r="69" spans="1:13">
      <c r="B69" s="168">
        <v>0.12417748685317065</v>
      </c>
      <c r="C69" s="168">
        <v>5.442826701802403</v>
      </c>
      <c r="D69" s="168">
        <v>5.4428267018023462</v>
      </c>
    </row>
    <row r="70" spans="1:13">
      <c r="B70" s="168">
        <v>0.12417748685317065</v>
      </c>
      <c r="C70" s="168">
        <v>5.4428267018023462</v>
      </c>
      <c r="D70" s="168">
        <v>5.4428267018022325</v>
      </c>
    </row>
    <row r="72" spans="1:13">
      <c r="B72" s="6" t="s">
        <v>212</v>
      </c>
    </row>
    <row r="73" spans="1:13">
      <c r="B73" s="168">
        <f t="array" ref="B73:D75">B58:D60+B63:D65+B68:D70</f>
        <v>14.774857638669118</v>
      </c>
      <c r="C73" s="168">
        <v>7.5741941535198976</v>
      </c>
      <c r="D73" s="168">
        <v>4.1739441535198694</v>
      </c>
    </row>
    <row r="74" spans="1:13">
      <c r="B74" s="168">
        <v>7.5741941535198976</v>
      </c>
      <c r="C74" s="168">
        <v>16.234910035135897</v>
      </c>
      <c r="D74" s="168">
        <v>11.359026701802406</v>
      </c>
      <c r="E74" s="6" t="s">
        <v>274</v>
      </c>
    </row>
    <row r="75" spans="1:13">
      <c r="B75" s="168">
        <v>4.1739441535198694</v>
      </c>
      <c r="C75" s="168">
        <v>11.359026701802406</v>
      </c>
      <c r="D75" s="168">
        <v>18.650110035135526</v>
      </c>
      <c r="E75" s="8">
        <f t="array" ref="E75">MDETERM(B73:D75)</f>
        <v>1932.6565884436279</v>
      </c>
    </row>
    <row r="79" spans="1:13">
      <c r="A79" s="24" t="s">
        <v>1007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2" spans="1:13">
      <c r="B82" s="6" t="s">
        <v>1006</v>
      </c>
    </row>
    <row r="83" spans="1:13">
      <c r="B83" s="168">
        <f t="array" ref="B83:D85">B73:D75/(SUM(C39:E39)-C40)</f>
        <v>0.98499050924460785</v>
      </c>
      <c r="C83" s="168">
        <v>0.50494627690132654</v>
      </c>
      <c r="D83" s="168">
        <v>0.27826294356799131</v>
      </c>
    </row>
    <row r="84" spans="1:13">
      <c r="B84" s="168">
        <v>0.50494627690132654</v>
      </c>
      <c r="C84" s="168">
        <v>1.0823273356757264</v>
      </c>
      <c r="D84" s="168">
        <v>0.75726844678682714</v>
      </c>
      <c r="E84" s="6" t="s">
        <v>274</v>
      </c>
    </row>
    <row r="85" spans="1:13">
      <c r="B85" s="168">
        <v>0.27826294356799131</v>
      </c>
      <c r="C85" s="168">
        <v>0.75726844678682714</v>
      </c>
      <c r="D85" s="168">
        <v>1.2433406690090352</v>
      </c>
      <c r="E85" s="8">
        <f t="array" ref="E85">MDETERM(B83:D85)</f>
        <v>0.5726389891684821</v>
      </c>
    </row>
    <row r="89" spans="1:13">
      <c r="A89" s="24" t="s">
        <v>1008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2" spans="1:13">
      <c r="B92" s="6" t="s">
        <v>1009</v>
      </c>
    </row>
    <row r="93" spans="1:13">
      <c r="B93" s="6"/>
      <c r="C93" s="6" t="s">
        <v>533</v>
      </c>
      <c r="D93" s="6" t="s">
        <v>534</v>
      </c>
      <c r="E93" s="6" t="s">
        <v>611</v>
      </c>
    </row>
    <row r="94" spans="1:13">
      <c r="B94" s="94" t="s">
        <v>988</v>
      </c>
      <c r="C94" s="220">
        <f t="array" ref="C94:C99">C48</f>
        <v>5.4466666666666663</v>
      </c>
      <c r="D94" s="220">
        <f t="array" ref="D94:D99">D48</f>
        <v>6.47</v>
      </c>
      <c r="E94" s="220">
        <f t="array" ref="E94:E99">E48</f>
        <v>9.5083333333333329</v>
      </c>
    </row>
    <row r="95" spans="1:13">
      <c r="B95" s="212" t="s">
        <v>988</v>
      </c>
      <c r="C95" s="221">
        <v>5.4466666666666663</v>
      </c>
      <c r="D95" s="221">
        <v>6.47</v>
      </c>
      <c r="E95" s="221">
        <v>9.5083333333333329</v>
      </c>
    </row>
    <row r="96" spans="1:13">
      <c r="B96" s="212" t="s">
        <v>988</v>
      </c>
      <c r="C96" s="221">
        <v>5.4466666666666663</v>
      </c>
      <c r="D96" s="221">
        <v>6.47</v>
      </c>
      <c r="E96" s="221">
        <v>9.5083333333333329</v>
      </c>
    </row>
    <row r="97" spans="2:5">
      <c r="B97" s="212" t="s">
        <v>988</v>
      </c>
      <c r="C97" s="221">
        <v>5.4466666666666663</v>
      </c>
      <c r="D97" s="221">
        <v>6.47</v>
      </c>
      <c r="E97" s="221">
        <v>9.5083333333333329</v>
      </c>
    </row>
    <row r="98" spans="2:5">
      <c r="B98" s="212" t="s">
        <v>988</v>
      </c>
      <c r="C98" s="221">
        <v>5.4466666666666663</v>
      </c>
      <c r="D98" s="221">
        <v>6.47</v>
      </c>
      <c r="E98" s="221">
        <v>9.5083333333333329</v>
      </c>
    </row>
    <row r="99" spans="2:5">
      <c r="B99" s="213" t="s">
        <v>988</v>
      </c>
      <c r="C99" s="222">
        <v>5.4466666666666663</v>
      </c>
      <c r="D99" s="222">
        <v>6.47</v>
      </c>
      <c r="E99" s="222">
        <v>9.5083333333333329</v>
      </c>
    </row>
    <row r="100" spans="2:5">
      <c r="B100" s="94" t="s">
        <v>989</v>
      </c>
      <c r="C100" s="220">
        <f t="array" ref="C100:C105">C49</f>
        <v>5.7616666666666667</v>
      </c>
      <c r="D100" s="220">
        <f t="array" ref="D100:D105">D49</f>
        <v>8.1283333333333321</v>
      </c>
      <c r="E100" s="220">
        <f t="array" ref="E100:E105">E49</f>
        <v>11.280000000000001</v>
      </c>
    </row>
    <row r="101" spans="2:5">
      <c r="B101" s="212" t="s">
        <v>989</v>
      </c>
      <c r="C101" s="221">
        <v>5.7616666666666667</v>
      </c>
      <c r="D101" s="221">
        <v>8.1283333333333321</v>
      </c>
      <c r="E101" s="221">
        <v>11.280000000000001</v>
      </c>
    </row>
    <row r="102" spans="2:5">
      <c r="B102" s="212" t="s">
        <v>989</v>
      </c>
      <c r="C102" s="221">
        <v>5.7616666666666667</v>
      </c>
      <c r="D102" s="221">
        <v>8.1283333333333321</v>
      </c>
      <c r="E102" s="221">
        <v>11.280000000000001</v>
      </c>
    </row>
    <row r="103" spans="2:5">
      <c r="B103" s="212" t="s">
        <v>989</v>
      </c>
      <c r="C103" s="221">
        <v>5.7616666666666667</v>
      </c>
      <c r="D103" s="221">
        <v>8.1283333333333321</v>
      </c>
      <c r="E103" s="221">
        <v>11.280000000000001</v>
      </c>
    </row>
    <row r="104" spans="2:5">
      <c r="B104" s="212" t="s">
        <v>989</v>
      </c>
      <c r="C104" s="221">
        <v>5.7616666666666667</v>
      </c>
      <c r="D104" s="221">
        <v>8.1283333333333321</v>
      </c>
      <c r="E104" s="221">
        <v>11.280000000000001</v>
      </c>
    </row>
    <row r="105" spans="2:5">
      <c r="B105" s="213" t="s">
        <v>989</v>
      </c>
      <c r="C105" s="222">
        <v>5.7616666666666667</v>
      </c>
      <c r="D105" s="222">
        <v>8.1283333333333321</v>
      </c>
      <c r="E105" s="222">
        <v>11.280000000000001</v>
      </c>
    </row>
    <row r="106" spans="2:5">
      <c r="B106" s="94" t="s">
        <v>990</v>
      </c>
      <c r="C106" s="220">
        <f t="array" ref="C106:C111">C50</f>
        <v>6.4585562762215289</v>
      </c>
      <c r="D106" s="220">
        <f t="array" ref="D106:D111">D50</f>
        <v>7.7505980344027749</v>
      </c>
      <c r="E106" s="220">
        <f t="array" ref="E106:E111">E50</f>
        <v>8.8705980344027751</v>
      </c>
    </row>
    <row r="107" spans="2:5">
      <c r="B107" s="212" t="s">
        <v>990</v>
      </c>
      <c r="C107" s="221">
        <v>6.4585562762215289</v>
      </c>
      <c r="D107" s="221">
        <v>7.7505980344027749</v>
      </c>
      <c r="E107" s="221">
        <v>8.8705980344027751</v>
      </c>
    </row>
    <row r="108" spans="2:5">
      <c r="B108" s="212" t="s">
        <v>990</v>
      </c>
      <c r="C108" s="221">
        <v>6.4585562762215289</v>
      </c>
      <c r="D108" s="221">
        <v>7.7505980344027749</v>
      </c>
      <c r="E108" s="221">
        <v>8.8705980344027751</v>
      </c>
    </row>
    <row r="109" spans="2:5">
      <c r="B109" s="212" t="s">
        <v>990</v>
      </c>
      <c r="C109" s="221">
        <v>6.4585562762215289</v>
      </c>
      <c r="D109" s="221">
        <v>7.7505980344027749</v>
      </c>
      <c r="E109" s="221">
        <v>8.8705980344027751</v>
      </c>
    </row>
    <row r="110" spans="2:5">
      <c r="B110" s="212" t="s">
        <v>990</v>
      </c>
      <c r="C110" s="221">
        <v>6.4585562762215289</v>
      </c>
      <c r="D110" s="221">
        <v>7.7505980344027749</v>
      </c>
      <c r="E110" s="221">
        <v>8.8705980344027751</v>
      </c>
    </row>
    <row r="111" spans="2:5">
      <c r="B111" s="213" t="s">
        <v>990</v>
      </c>
      <c r="C111" s="222">
        <v>6.4585562762215289</v>
      </c>
      <c r="D111" s="222">
        <v>7.7505980344027749</v>
      </c>
      <c r="E111" s="222">
        <v>8.8705980344027751</v>
      </c>
    </row>
    <row r="113" spans="1:13">
      <c r="B113" s="6" t="s">
        <v>965</v>
      </c>
    </row>
    <row r="114" spans="1:13">
      <c r="B114" s="168">
        <f t="array" ref="B114:D116">MMULT(TRANSPOSE(C94:E111),C94:E111)-(SUM(C39:E39))*MMULT(TRANSPOSE(C37:E37),C37:E37)</f>
        <v>3.2176014196608094</v>
      </c>
      <c r="C114" s="168">
        <v>3.1099180800836166</v>
      </c>
      <c r="D114" s="168">
        <v>-3.5326598353997269</v>
      </c>
    </row>
    <row r="115" spans="1:13">
      <c r="B115" s="168">
        <v>3.1099180800836166</v>
      </c>
      <c r="C115" s="168">
        <v>9.0653694524376078</v>
      </c>
      <c r="D115" s="168">
        <v>6.0628949806562105</v>
      </c>
      <c r="E115" s="6" t="s">
        <v>274</v>
      </c>
    </row>
    <row r="116" spans="1:13">
      <c r="B116" s="168">
        <v>-3.5326598353997269</v>
      </c>
      <c r="C116" s="168">
        <v>6.0628949806562105</v>
      </c>
      <c r="D116" s="168">
        <v>18.701453842207457</v>
      </c>
      <c r="E116" s="168">
        <f t="array" ref="E116">MDETERM(B114:D116)</f>
        <v>-8.3331271412444081E-11</v>
      </c>
    </row>
    <row r="120" spans="1:13">
      <c r="A120" s="24" t="s">
        <v>1010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3" spans="1:13">
      <c r="B123" s="6" t="s">
        <v>1011</v>
      </c>
    </row>
    <row r="124" spans="1:13">
      <c r="B124" s="168">
        <f t="array" ref="B124:D126">B73:D75+B114:D116</f>
        <v>17.992459058329928</v>
      </c>
      <c r="C124" s="168">
        <v>10.684112233603514</v>
      </c>
      <c r="D124" s="168">
        <v>0.64128431812014242</v>
      </c>
    </row>
    <row r="125" spans="1:13">
      <c r="B125" s="168">
        <v>10.684112233603514</v>
      </c>
      <c r="C125" s="168">
        <v>25.300279487573505</v>
      </c>
      <c r="D125" s="168">
        <v>17.421921682458617</v>
      </c>
      <c r="E125" s="6" t="s">
        <v>274</v>
      </c>
    </row>
    <row r="126" spans="1:13">
      <c r="B126" s="168">
        <v>0.64128431812014242</v>
      </c>
      <c r="C126" s="168">
        <v>17.421921682458617</v>
      </c>
      <c r="D126" s="168">
        <v>37.351563877342983</v>
      </c>
      <c r="E126" s="168">
        <f t="array" ref="E126">MDETERM(B124:D126)</f>
        <v>7506.4716507090607</v>
      </c>
    </row>
    <row r="130" spans="1:13">
      <c r="A130" s="24" t="s">
        <v>1012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3" spans="1:13">
      <c r="B133" s="6" t="s">
        <v>897</v>
      </c>
      <c r="C133" s="8">
        <f>E75/E126</f>
        <v>0.25746538165651628</v>
      </c>
    </row>
    <row r="135" spans="1:13">
      <c r="B135" s="6" t="s">
        <v>898</v>
      </c>
      <c r="C135" s="8">
        <f>1-C133</f>
        <v>0.74253461834348378</v>
      </c>
      <c r="D135" s="211" t="s">
        <v>1092</v>
      </c>
      <c r="E135" s="211"/>
      <c r="F135" s="211"/>
      <c r="G135" s="211"/>
      <c r="H135" s="211"/>
      <c r="I135" s="211"/>
      <c r="J135" s="211"/>
    </row>
    <row r="136" spans="1:13">
      <c r="D136" s="135" t="s">
        <v>1091</v>
      </c>
      <c r="E136" s="211"/>
      <c r="F136" s="211"/>
      <c r="G136" s="211"/>
      <c r="H136" s="211"/>
    </row>
    <row r="139" spans="1:13">
      <c r="A139" s="208" t="s">
        <v>1013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</row>
    <row r="140" spans="1:13">
      <c r="A140" s="24" t="s">
        <v>1014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3" spans="1:13">
      <c r="B143" s="240" t="s">
        <v>1023</v>
      </c>
      <c r="C143" s="240"/>
      <c r="D143" s="240"/>
      <c r="E143" s="240"/>
      <c r="F143" s="240"/>
    </row>
    <row r="144" spans="1:13">
      <c r="B144" s="208" t="s">
        <v>338</v>
      </c>
      <c r="C144" s="6" t="s">
        <v>955</v>
      </c>
      <c r="D144" s="6"/>
      <c r="E144" s="6" t="s">
        <v>1016</v>
      </c>
      <c r="F144" s="6"/>
      <c r="G144" s="98" t="s">
        <v>1022</v>
      </c>
      <c r="H144" s="98"/>
    </row>
    <row r="145" spans="2:12">
      <c r="B145" s="6" t="s">
        <v>533</v>
      </c>
      <c r="C145" s="172">
        <v>-0.30365394375137328</v>
      </c>
      <c r="D145" s="208" t="s">
        <v>192</v>
      </c>
      <c r="E145" s="172">
        <v>-0.17253619254838035</v>
      </c>
      <c r="F145" s="208" t="s">
        <v>195</v>
      </c>
      <c r="G145" s="98" t="s">
        <v>1144</v>
      </c>
      <c r="H145" s="98"/>
      <c r="I145" s="98"/>
      <c r="J145" s="98"/>
      <c r="K145" s="98"/>
      <c r="L145" s="98"/>
    </row>
    <row r="146" spans="2:12">
      <c r="B146" s="6" t="s">
        <v>534</v>
      </c>
      <c r="C146" s="172">
        <v>-0.65712048071880158</v>
      </c>
      <c r="D146" s="208" t="s">
        <v>193</v>
      </c>
      <c r="E146" s="172">
        <v>1.1226842899064406</v>
      </c>
      <c r="F146" s="208" t="s">
        <v>196</v>
      </c>
      <c r="G146" t="s">
        <v>1141</v>
      </c>
    </row>
    <row r="147" spans="2:12">
      <c r="B147" s="6" t="s">
        <v>611</v>
      </c>
      <c r="C147" s="172">
        <v>1.2375493760032132</v>
      </c>
      <c r="D147" s="208" t="s">
        <v>194</v>
      </c>
      <c r="E147" s="172">
        <v>-7.7388007478504342E-2</v>
      </c>
      <c r="F147" s="208" t="s">
        <v>197</v>
      </c>
    </row>
    <row r="148" spans="2:12">
      <c r="B148" s="6" t="s">
        <v>956</v>
      </c>
      <c r="C148" s="172">
        <v>1.4703213381473683</v>
      </c>
      <c r="E148" s="172">
        <v>0.57227209820714631</v>
      </c>
    </row>
    <row r="149" spans="2:12">
      <c r="B149" s="6" t="s">
        <v>1017</v>
      </c>
      <c r="C149" s="172">
        <v>0.71983063882330911</v>
      </c>
      <c r="E149" s="172">
        <v>1</v>
      </c>
    </row>
    <row r="151" spans="2:12">
      <c r="B151" s="6" t="s">
        <v>1018</v>
      </c>
      <c r="C151" s="6"/>
      <c r="D151" s="209" t="s">
        <v>1019</v>
      </c>
      <c r="E151" s="209"/>
      <c r="F151" s="209"/>
    </row>
    <row r="152" spans="2:12">
      <c r="B152" s="6" t="s">
        <v>1020</v>
      </c>
      <c r="C152" s="6"/>
      <c r="D152" s="209" t="s">
        <v>1021</v>
      </c>
      <c r="E152" s="209"/>
      <c r="F152" s="209"/>
    </row>
    <row r="154" spans="2:12">
      <c r="B154" s="6" t="s">
        <v>6</v>
      </c>
      <c r="C154" s="209" t="s">
        <v>947</v>
      </c>
      <c r="D154" s="209"/>
      <c r="E154" s="209"/>
      <c r="F154" s="209"/>
      <c r="G154" s="209"/>
      <c r="H154" s="209"/>
      <c r="I154" s="209"/>
    </row>
    <row r="155" spans="2:12">
      <c r="C155" s="209" t="s">
        <v>948</v>
      </c>
      <c r="D155" s="209"/>
      <c r="E155" s="209"/>
      <c r="F155" s="209"/>
      <c r="G155" s="209"/>
      <c r="H155" s="209"/>
      <c r="I155" s="209"/>
    </row>
    <row r="156" spans="2:12">
      <c r="C156" s="209" t="s">
        <v>949</v>
      </c>
      <c r="D156" s="209"/>
      <c r="E156" s="209"/>
      <c r="F156" s="209"/>
      <c r="G156" s="209"/>
      <c r="H156" s="209"/>
      <c r="I156" s="209"/>
    </row>
    <row r="157" spans="2:12">
      <c r="C157" s="209" t="s">
        <v>950</v>
      </c>
      <c r="D157" s="209"/>
      <c r="E157" s="209"/>
      <c r="F157" s="209"/>
      <c r="G157" s="209"/>
      <c r="H157" s="209"/>
      <c r="I157" s="209"/>
    </row>
    <row r="158" spans="2:12">
      <c r="C158" s="209" t="s">
        <v>1015</v>
      </c>
      <c r="D158" s="209"/>
      <c r="E158" s="209"/>
      <c r="F158" s="209"/>
      <c r="G158" s="209"/>
      <c r="H158" s="209"/>
      <c r="I158" s="209"/>
    </row>
    <row r="159" spans="2:12">
      <c r="C159" s="230"/>
      <c r="D159" s="230"/>
      <c r="E159" s="230"/>
      <c r="F159" s="230"/>
      <c r="G159" s="230"/>
      <c r="H159" s="230"/>
      <c r="I159" s="230"/>
    </row>
    <row r="160" spans="2:12">
      <c r="C160" s="230" t="s">
        <v>1142</v>
      </c>
      <c r="D160" s="230"/>
      <c r="E160" s="230"/>
      <c r="F160" s="230"/>
      <c r="G160" s="230"/>
      <c r="H160" s="230"/>
      <c r="I160" s="230"/>
    </row>
    <row r="161" spans="1:13">
      <c r="C161" s="230" t="s">
        <v>1143</v>
      </c>
      <c r="D161" s="230"/>
      <c r="E161" s="230"/>
      <c r="F161" s="230"/>
      <c r="G161" s="230"/>
      <c r="H161" s="230"/>
      <c r="I161" s="230"/>
    </row>
    <row r="162" spans="1:13">
      <c r="C162" s="230"/>
      <c r="D162" s="230"/>
      <c r="E162" s="230"/>
      <c r="F162" s="230"/>
      <c r="G162" s="230"/>
      <c r="H162" s="230"/>
      <c r="I162" s="230"/>
    </row>
    <row r="166" spans="1:13">
      <c r="A166" s="24" t="s">
        <v>1027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9" spans="1:13">
      <c r="B169" s="208" t="s">
        <v>1024</v>
      </c>
      <c r="C169" s="208"/>
      <c r="D169" s="208"/>
      <c r="E169" s="208"/>
    </row>
    <row r="170" spans="1:13">
      <c r="B170" s="6" t="s">
        <v>1025</v>
      </c>
      <c r="C170" s="260" t="s">
        <v>1026</v>
      </c>
      <c r="D170" s="260"/>
    </row>
    <row r="171" spans="1:13">
      <c r="B171" s="172">
        <f>C135</f>
        <v>0.74253461834348378</v>
      </c>
      <c r="C171" s="261">
        <f>1-B171</f>
        <v>0.25746538165651622</v>
      </c>
      <c r="D171" s="262"/>
    </row>
    <row r="175" spans="1:13">
      <c r="A175" s="24" t="s">
        <v>1028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8" spans="1:13">
      <c r="B178" s="208" t="s">
        <v>1029</v>
      </c>
      <c r="C178" s="208"/>
      <c r="D178" s="208"/>
    </row>
    <row r="179" spans="1:13">
      <c r="B179" s="6"/>
      <c r="C179" s="6" t="s">
        <v>955</v>
      </c>
      <c r="D179" s="6" t="s">
        <v>1016</v>
      </c>
    </row>
    <row r="180" spans="1:13">
      <c r="B180" s="6" t="s">
        <v>1030</v>
      </c>
      <c r="C180" s="168">
        <f>C148</f>
        <v>1.4703213381473683</v>
      </c>
      <c r="D180" s="168">
        <f>E148</f>
        <v>0.57227209820714631</v>
      </c>
    </row>
    <row r="181" spans="1:13">
      <c r="B181" s="6" t="s">
        <v>1031</v>
      </c>
      <c r="C181" s="168">
        <f>C180/SUM($C$180:$D$180)</f>
        <v>0.71983063882330911</v>
      </c>
      <c r="D181" s="168">
        <f>D180/SUM($C$180:$D$180)</f>
        <v>0.280169361176691</v>
      </c>
      <c r="E181" t="s">
        <v>1145</v>
      </c>
    </row>
    <row r="182" spans="1:13">
      <c r="B182" s="6" t="s">
        <v>1032</v>
      </c>
      <c r="C182" s="168">
        <f>$B$171*C181</f>
        <v>0.53449916867061198</v>
      </c>
      <c r="D182" s="168">
        <f>$B$171*D181</f>
        <v>0.20803544967287191</v>
      </c>
      <c r="E182" s="168">
        <f>SUM(C182:D182)</f>
        <v>0.74253461834348389</v>
      </c>
    </row>
    <row r="183" spans="1:13">
      <c r="C183" s="9"/>
    </row>
    <row r="184" spans="1:13">
      <c r="C184" s="9"/>
    </row>
    <row r="185" spans="1:13">
      <c r="C185" s="229" t="s">
        <v>1146</v>
      </c>
      <c r="D185" s="229"/>
      <c r="E185" s="229"/>
      <c r="F185" s="229"/>
      <c r="G185" s="229"/>
    </row>
    <row r="186" spans="1:13" ht="14.25">
      <c r="C186" s="229" t="s">
        <v>1147</v>
      </c>
      <c r="D186" s="229"/>
      <c r="E186" s="229"/>
      <c r="F186" s="229"/>
      <c r="G186" s="229"/>
    </row>
    <row r="187" spans="1:13">
      <c r="C187" s="229" t="s">
        <v>1148</v>
      </c>
      <c r="D187" s="229"/>
      <c r="E187" s="229"/>
      <c r="F187" s="229"/>
      <c r="G187" s="229"/>
    </row>
    <row r="188" spans="1:13">
      <c r="C188" s="229"/>
      <c r="D188" s="229"/>
      <c r="E188" s="229"/>
      <c r="F188" s="229"/>
      <c r="G188" s="229"/>
    </row>
    <row r="192" spans="1:13">
      <c r="A192" s="24" t="s">
        <v>1033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5" spans="1:13">
      <c r="B195" s="208" t="s">
        <v>1034</v>
      </c>
      <c r="C195" s="208"/>
      <c r="D195" s="208"/>
      <c r="E195" s="208"/>
    </row>
    <row r="196" spans="1:13">
      <c r="B196" s="6"/>
      <c r="C196" s="6" t="s">
        <v>955</v>
      </c>
      <c r="D196" s="6" t="s">
        <v>1016</v>
      </c>
    </row>
    <row r="197" spans="1:13">
      <c r="B197" s="6" t="s">
        <v>1030</v>
      </c>
      <c r="C197" s="168">
        <f>C180</f>
        <v>1.4703213381473683</v>
      </c>
      <c r="D197" s="168">
        <f>D180</f>
        <v>0.57227209820714631</v>
      </c>
    </row>
    <row r="198" spans="1:13">
      <c r="B198" s="6" t="s">
        <v>897</v>
      </c>
      <c r="C198" s="168">
        <f>1/(1+C197)</f>
        <v>0.40480563583276813</v>
      </c>
      <c r="D198" s="168">
        <f>1/(1+D197)</f>
        <v>0.63602222614030668</v>
      </c>
    </row>
    <row r="199" spans="1:13">
      <c r="B199" s="6" t="s">
        <v>898</v>
      </c>
      <c r="C199" s="168">
        <f>1-C198</f>
        <v>0.59519436416723193</v>
      </c>
      <c r="D199" s="168">
        <f>1-D198</f>
        <v>0.36397777385969332</v>
      </c>
      <c r="E199" s="168">
        <f>SUM(C199:D199)</f>
        <v>0.95917213802692525</v>
      </c>
    </row>
    <row r="201" spans="1:13">
      <c r="B201" s="12" t="s">
        <v>1035</v>
      </c>
    </row>
    <row r="202" spans="1:13" ht="14.25">
      <c r="B202" s="99" t="s">
        <v>1093</v>
      </c>
    </row>
    <row r="203" spans="1:13">
      <c r="B203" s="223" t="s">
        <v>1036</v>
      </c>
    </row>
    <row r="204" spans="1:13">
      <c r="B204" s="236" t="s">
        <v>1149</v>
      </c>
    </row>
    <row r="208" spans="1:13">
      <c r="A208" s="208" t="s">
        <v>1037</v>
      </c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</row>
    <row r="209" spans="1:13">
      <c r="A209" s="208" t="s">
        <v>1053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</row>
    <row r="210" spans="1:13">
      <c r="A210" s="24" t="s">
        <v>1051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3" spans="1:13">
      <c r="B213" s="241" t="s">
        <v>1038</v>
      </c>
      <c r="C213" s="241" t="s">
        <v>1039</v>
      </c>
      <c r="D213" s="241"/>
      <c r="E213" s="241"/>
      <c r="F213" s="241"/>
      <c r="G213" s="241"/>
      <c r="H213" s="241"/>
    </row>
    <row r="214" spans="1:13">
      <c r="B214" s="241"/>
      <c r="C214" s="6" t="s">
        <v>1040</v>
      </c>
      <c r="D214" s="6" t="s">
        <v>1041</v>
      </c>
      <c r="E214" s="6" t="s">
        <v>1042</v>
      </c>
      <c r="F214" s="6" t="s">
        <v>1043</v>
      </c>
      <c r="G214" s="6" t="s">
        <v>1044</v>
      </c>
      <c r="H214" s="6" t="s">
        <v>1045</v>
      </c>
    </row>
    <row r="215" spans="1:13">
      <c r="B215" s="6" t="s">
        <v>1046</v>
      </c>
      <c r="C215" s="172">
        <v>1.4703213381473683</v>
      </c>
      <c r="D215" s="172">
        <v>0.77148840831682752</v>
      </c>
      <c r="E215" s="172">
        <v>0.25746538165649946</v>
      </c>
      <c r="F215" s="172">
        <v>18.996180113192377</v>
      </c>
      <c r="G215" s="172">
        <v>6</v>
      </c>
      <c r="H215" s="172">
        <v>4.1700890980677086E-3</v>
      </c>
      <c r="I215" t="s">
        <v>1047</v>
      </c>
    </row>
    <row r="216" spans="1:13">
      <c r="B216" s="6" t="s">
        <v>296</v>
      </c>
      <c r="C216" s="172">
        <v>0.57227209820714631</v>
      </c>
      <c r="D216" s="172">
        <v>0.6033057051443268</v>
      </c>
      <c r="E216" s="172">
        <v>0.63602222614030657</v>
      </c>
      <c r="F216" s="172">
        <v>6.335304772876106</v>
      </c>
      <c r="G216" s="172">
        <v>2</v>
      </c>
      <c r="H216" s="172">
        <v>4.2102321957156574E-2</v>
      </c>
      <c r="I216" t="s">
        <v>1048</v>
      </c>
    </row>
    <row r="217" spans="1:13">
      <c r="E217" s="263" t="s">
        <v>1049</v>
      </c>
      <c r="F217" s="263"/>
      <c r="G217" s="263"/>
      <c r="H217" s="263"/>
      <c r="I217" s="12" t="s">
        <v>1050</v>
      </c>
    </row>
    <row r="218" spans="1:13">
      <c r="C218" s="226" t="s">
        <v>1094</v>
      </c>
      <c r="D218" s="138"/>
      <c r="E218" s="224"/>
      <c r="F218" s="224"/>
      <c r="G218" s="224"/>
      <c r="H218" s="224"/>
      <c r="I218" s="12"/>
    </row>
    <row r="219" spans="1:13">
      <c r="C219" s="224">
        <f>SQRT(C199)</f>
        <v>0.77148840831682752</v>
      </c>
      <c r="D219" s="224"/>
      <c r="E219" s="224"/>
      <c r="F219" s="224"/>
      <c r="G219" s="224"/>
      <c r="H219" s="224"/>
      <c r="I219" s="12"/>
    </row>
    <row r="220" spans="1:13">
      <c r="C220" s="224">
        <f>SQRT(D199)</f>
        <v>0.6033057051443268</v>
      </c>
      <c r="D220" s="224"/>
      <c r="E220" s="224"/>
      <c r="F220" s="224"/>
      <c r="G220" s="224"/>
      <c r="H220" s="224"/>
      <c r="I220" s="12"/>
    </row>
    <row r="221" spans="1:13">
      <c r="C221" s="224"/>
      <c r="D221" s="224"/>
      <c r="E221" s="224"/>
      <c r="F221" s="224"/>
      <c r="G221" s="224"/>
      <c r="H221" s="224"/>
      <c r="I221" s="12"/>
    </row>
    <row r="222" spans="1:13">
      <c r="B222" s="6" t="s">
        <v>6</v>
      </c>
      <c r="C222" s="209" t="s">
        <v>1052</v>
      </c>
      <c r="D222" s="209"/>
      <c r="E222" s="209"/>
      <c r="F222" s="209"/>
      <c r="G222" s="209"/>
      <c r="H222" s="209"/>
      <c r="I222" s="209"/>
    </row>
    <row r="223" spans="1:13">
      <c r="C223" s="209"/>
      <c r="D223" s="209"/>
      <c r="E223" s="209"/>
      <c r="F223" s="209"/>
      <c r="G223" s="209"/>
      <c r="H223" s="209"/>
      <c r="I223" s="209"/>
    </row>
    <row r="224" spans="1:13">
      <c r="C224" s="209"/>
      <c r="D224" s="209"/>
      <c r="E224" s="209"/>
      <c r="F224" s="209"/>
      <c r="G224" s="209"/>
      <c r="H224" s="209"/>
      <c r="I224" s="209"/>
    </row>
    <row r="225" spans="1:13">
      <c r="C225" s="209"/>
      <c r="D225" s="209"/>
      <c r="E225" s="209"/>
      <c r="F225" s="209"/>
      <c r="G225" s="209"/>
      <c r="H225" s="209"/>
      <c r="I225" s="209"/>
    </row>
    <row r="226" spans="1:13">
      <c r="C226" s="209"/>
      <c r="D226" s="209"/>
      <c r="E226" s="209"/>
      <c r="F226" s="209"/>
      <c r="G226" s="209"/>
      <c r="H226" s="209"/>
      <c r="I226" s="209"/>
    </row>
    <row r="227" spans="1:13">
      <c r="C227" s="209"/>
      <c r="D227" s="209"/>
      <c r="E227" s="209"/>
      <c r="F227" s="209"/>
      <c r="G227" s="209"/>
      <c r="H227" s="209"/>
      <c r="I227" s="209"/>
    </row>
    <row r="228" spans="1:13">
      <c r="C228" s="209"/>
      <c r="D228" s="209"/>
      <c r="E228" s="209"/>
      <c r="F228" s="209"/>
      <c r="G228" s="209"/>
      <c r="H228" s="209"/>
      <c r="I228" s="209"/>
    </row>
    <row r="232" spans="1:13">
      <c r="A232" s="208" t="s">
        <v>1054</v>
      </c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</row>
    <row r="233" spans="1:13">
      <c r="A233" s="208" t="s">
        <v>1055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</row>
    <row r="234" spans="1:13">
      <c r="A234" s="235" t="s">
        <v>1224</v>
      </c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</row>
    <row r="235" spans="1:13">
      <c r="A235" s="235" t="s">
        <v>1225</v>
      </c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</row>
    <row r="236" spans="1:13">
      <c r="A236" s="24" t="s">
        <v>1056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9" spans="1:13">
      <c r="B239" s="241" t="s">
        <v>1057</v>
      </c>
      <c r="C239" s="241" t="s">
        <v>1058</v>
      </c>
      <c r="D239" s="241"/>
      <c r="E239" s="241"/>
      <c r="F239" s="241"/>
      <c r="G239" s="241"/>
      <c r="H239" s="241"/>
    </row>
    <row r="240" spans="1:13">
      <c r="B240" s="241"/>
      <c r="C240" s="6" t="s">
        <v>1042</v>
      </c>
      <c r="D240" s="6" t="s">
        <v>1060</v>
      </c>
      <c r="E240" s="6" t="s">
        <v>1061</v>
      </c>
      <c r="F240" s="6" t="s">
        <v>1045</v>
      </c>
      <c r="G240" s="6" t="s">
        <v>1062</v>
      </c>
      <c r="H240" s="6" t="s">
        <v>1063</v>
      </c>
    </row>
    <row r="241" spans="2:9">
      <c r="B241" s="6" t="s">
        <v>533</v>
      </c>
      <c r="C241" s="172">
        <v>0.27086569999999999</v>
      </c>
      <c r="D241" s="172">
        <v>0.95052780000000003</v>
      </c>
      <c r="E241" s="172">
        <v>0.33830559999999998</v>
      </c>
      <c r="F241" s="172">
        <v>0.7190706</v>
      </c>
      <c r="G241" s="172">
        <v>0.75282349999999998</v>
      </c>
      <c r="H241" s="172">
        <v>0.24717649999999999</v>
      </c>
      <c r="I241" s="9" t="s">
        <v>1097</v>
      </c>
    </row>
    <row r="242" spans="2:9">
      <c r="B242" s="6" t="s">
        <v>534</v>
      </c>
      <c r="C242" s="172">
        <v>0.38433200000000001</v>
      </c>
      <c r="D242" s="172">
        <v>0.66990360000000004</v>
      </c>
      <c r="E242" s="172">
        <v>3.2028880000000002</v>
      </c>
      <c r="F242" s="172">
        <v>7.3974159999999997E-2</v>
      </c>
      <c r="G242" s="172">
        <v>0.46117399999999997</v>
      </c>
      <c r="H242" s="172">
        <v>0.53882600000000003</v>
      </c>
      <c r="I242" t="s">
        <v>1066</v>
      </c>
    </row>
    <row r="243" spans="2:9">
      <c r="B243" s="6" t="s">
        <v>611</v>
      </c>
      <c r="C243" s="225">
        <v>0.53509039999999997</v>
      </c>
      <c r="D243" s="225">
        <v>0.48116239999999999</v>
      </c>
      <c r="E243" s="225">
        <v>7.008953</v>
      </c>
      <c r="F243" s="225">
        <v>8.6078720000000008E-3</v>
      </c>
      <c r="G243" s="225">
        <v>0.56781950000000003</v>
      </c>
      <c r="H243" s="225">
        <v>0.43218050000000002</v>
      </c>
      <c r="I243" s="9" t="s">
        <v>1098</v>
      </c>
    </row>
    <row r="245" spans="2:9">
      <c r="B245" s="99" t="s">
        <v>1067</v>
      </c>
    </row>
    <row r="246" spans="2:9">
      <c r="C246" s="9" t="s">
        <v>1068</v>
      </c>
    </row>
    <row r="247" spans="2:9">
      <c r="C247" s="9" t="s">
        <v>1069</v>
      </c>
    </row>
    <row r="248" spans="2:9">
      <c r="C248" s="9" t="s">
        <v>1153</v>
      </c>
    </row>
    <row r="249" spans="2:9" ht="14.25">
      <c r="C249" s="9" t="s">
        <v>1151</v>
      </c>
    </row>
    <row r="250" spans="2:9">
      <c r="C250" s="9" t="s">
        <v>1152</v>
      </c>
    </row>
    <row r="251" spans="2:9">
      <c r="C251" s="9" t="s">
        <v>1150</v>
      </c>
    </row>
    <row r="253" spans="2:9">
      <c r="B253" s="9" t="s">
        <v>1096</v>
      </c>
    </row>
    <row r="254" spans="2:9">
      <c r="B254" s="9" t="s">
        <v>1095</v>
      </c>
    </row>
    <row r="256" spans="2:9">
      <c r="B256" s="241" t="s">
        <v>338</v>
      </c>
      <c r="C256" s="241" t="s">
        <v>1059</v>
      </c>
      <c r="D256" s="241"/>
    </row>
    <row r="257" spans="2:9">
      <c r="B257" s="241"/>
      <c r="C257" s="6" t="s">
        <v>1064</v>
      </c>
      <c r="D257" s="6" t="s">
        <v>1065</v>
      </c>
    </row>
    <row r="258" spans="2:9">
      <c r="B258" s="6" t="s">
        <v>533</v>
      </c>
      <c r="C258" s="172">
        <v>-0.31383966142050074</v>
      </c>
      <c r="D258" s="172">
        <v>0.35704934405020339</v>
      </c>
    </row>
    <row r="259" spans="2:9">
      <c r="B259" s="6" t="s">
        <v>534</v>
      </c>
      <c r="C259" s="172">
        <v>2.2422792321084017E-3</v>
      </c>
      <c r="D259" s="225">
        <v>0.98778778215284258</v>
      </c>
    </row>
    <row r="260" spans="2:9">
      <c r="B260" s="6" t="s">
        <v>611</v>
      </c>
      <c r="C260" s="225">
        <v>0.73223324602817674</v>
      </c>
      <c r="D260" s="172">
        <v>0.61210892945345607</v>
      </c>
    </row>
    <row r="262" spans="2:9">
      <c r="B262" s="99" t="s">
        <v>1154</v>
      </c>
    </row>
    <row r="264" spans="2:9">
      <c r="B264" s="6" t="s">
        <v>560</v>
      </c>
      <c r="C264" s="209" t="s">
        <v>1070</v>
      </c>
      <c r="D264" s="209"/>
      <c r="E264" s="209"/>
      <c r="F264" s="209"/>
      <c r="G264" s="209"/>
      <c r="H264" s="209"/>
      <c r="I264" s="209"/>
    </row>
    <row r="265" spans="2:9">
      <c r="C265" s="209"/>
      <c r="D265" s="209"/>
      <c r="E265" s="209"/>
      <c r="F265" s="209"/>
      <c r="G265" s="209"/>
      <c r="H265" s="209"/>
      <c r="I265" s="209"/>
    </row>
    <row r="266" spans="2:9">
      <c r="C266" s="209" t="s">
        <v>1071</v>
      </c>
      <c r="D266" s="209"/>
      <c r="E266" s="209"/>
      <c r="F266" s="209"/>
      <c r="G266" s="209"/>
      <c r="H266" s="209"/>
      <c r="I266" s="209"/>
    </row>
    <row r="267" spans="2:9">
      <c r="C267" s="209"/>
      <c r="D267" s="209"/>
      <c r="E267" s="209"/>
      <c r="F267" s="209"/>
      <c r="G267" s="209"/>
      <c r="H267" s="209"/>
      <c r="I267" s="209"/>
    </row>
    <row r="269" spans="2:9">
      <c r="B269" s="6" t="s">
        <v>638</v>
      </c>
      <c r="C269" s="230" t="s">
        <v>1155</v>
      </c>
      <c r="D269" s="230"/>
      <c r="E269" s="230"/>
      <c r="F269" s="230"/>
      <c r="G269" s="230"/>
      <c r="H269" s="230"/>
      <c r="I269" s="230"/>
    </row>
    <row r="270" spans="2:9">
      <c r="C270" s="230" t="s">
        <v>1156</v>
      </c>
      <c r="D270" s="230"/>
      <c r="E270" s="230"/>
      <c r="F270" s="230"/>
      <c r="G270" s="230"/>
      <c r="H270" s="230"/>
      <c r="I270" s="230"/>
    </row>
    <row r="271" spans="2:9">
      <c r="C271" s="230"/>
      <c r="D271" s="230"/>
      <c r="E271" s="230"/>
      <c r="F271" s="230"/>
      <c r="G271" s="230"/>
      <c r="H271" s="230"/>
      <c r="I271" s="230"/>
    </row>
    <row r="275" spans="1:13">
      <c r="A275" s="24" t="s">
        <v>1072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307" spans="1:13">
      <c r="B307" s="6" t="s">
        <v>560</v>
      </c>
      <c r="C307" s="209" t="s">
        <v>1073</v>
      </c>
      <c r="D307" s="209"/>
      <c r="E307" s="209"/>
      <c r="F307" s="209"/>
      <c r="G307" s="209"/>
      <c r="H307" s="209"/>
      <c r="I307" s="209"/>
    </row>
    <row r="308" spans="1:13">
      <c r="C308" s="209"/>
      <c r="D308" s="209"/>
      <c r="E308" s="209"/>
      <c r="F308" s="209"/>
      <c r="G308" s="209"/>
      <c r="H308" s="209"/>
      <c r="I308" s="209"/>
    </row>
    <row r="309" spans="1:13">
      <c r="C309" s="209" t="s">
        <v>1166</v>
      </c>
      <c r="D309" s="209"/>
      <c r="E309" s="209"/>
      <c r="F309" s="209"/>
      <c r="G309" s="209"/>
      <c r="H309" s="209"/>
      <c r="I309" s="209"/>
    </row>
    <row r="310" spans="1:13">
      <c r="C310" s="209" t="s">
        <v>1167</v>
      </c>
      <c r="D310" s="209"/>
      <c r="E310" s="209"/>
      <c r="F310" s="209"/>
      <c r="G310" s="209"/>
      <c r="H310" s="209"/>
      <c r="I310" s="209"/>
    </row>
    <row r="311" spans="1:13">
      <c r="C311" s="209" t="s">
        <v>1168</v>
      </c>
      <c r="D311" s="209"/>
      <c r="E311" s="209"/>
      <c r="F311" s="209"/>
      <c r="G311" s="209"/>
      <c r="H311" s="209"/>
      <c r="I311" s="209"/>
    </row>
    <row r="312" spans="1:13">
      <c r="C312" s="209"/>
      <c r="D312" s="209"/>
      <c r="E312" s="209"/>
      <c r="F312" s="209"/>
      <c r="G312" s="209"/>
      <c r="H312" s="209"/>
      <c r="I312" s="209"/>
    </row>
    <row r="313" spans="1:13">
      <c r="C313" s="209"/>
      <c r="D313" s="209"/>
      <c r="E313" s="209"/>
      <c r="F313" s="209"/>
      <c r="G313" s="209"/>
      <c r="H313" s="209"/>
      <c r="I313" s="209"/>
    </row>
    <row r="317" spans="1:13">
      <c r="A317" s="235" t="s">
        <v>1222</v>
      </c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</row>
    <row r="318" spans="1:13">
      <c r="A318" s="208" t="s">
        <v>1221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</row>
    <row r="319" spans="1:13">
      <c r="A319" s="24" t="s">
        <v>1074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2" spans="2:7">
      <c r="B322" s="241" t="s">
        <v>1075</v>
      </c>
      <c r="C322" s="241" t="s">
        <v>1157</v>
      </c>
      <c r="D322" s="241"/>
      <c r="E322" s="241"/>
    </row>
    <row r="323" spans="2:7">
      <c r="B323" s="241"/>
      <c r="C323" s="6" t="s">
        <v>1076</v>
      </c>
      <c r="D323" s="6" t="s">
        <v>955</v>
      </c>
      <c r="E323" s="6" t="s">
        <v>1016</v>
      </c>
    </row>
    <row r="324" spans="2:7">
      <c r="B324" s="6" t="s">
        <v>296</v>
      </c>
      <c r="C324" s="209" t="s">
        <v>988</v>
      </c>
      <c r="D324" s="172">
        <v>-0.58604611782326188</v>
      </c>
      <c r="E324" s="172">
        <v>-0.16352934548467513</v>
      </c>
    </row>
    <row r="325" spans="2:7">
      <c r="B325" s="6" t="s">
        <v>297</v>
      </c>
      <c r="C325" s="209" t="s">
        <v>988</v>
      </c>
      <c r="D325" s="172">
        <v>1.5880862772130762</v>
      </c>
      <c r="E325" s="172">
        <v>-2.2679573929238446</v>
      </c>
      <c r="G325" s="9" t="s">
        <v>1158</v>
      </c>
    </row>
    <row r="326" spans="2:7">
      <c r="B326" s="6" t="s">
        <v>298</v>
      </c>
      <c r="C326" s="209" t="s">
        <v>988</v>
      </c>
      <c r="D326" s="172">
        <v>-0.6092948138318306</v>
      </c>
      <c r="E326" s="172">
        <v>-0.72129358375871089</v>
      </c>
      <c r="G326" s="9" t="s">
        <v>1159</v>
      </c>
    </row>
    <row r="327" spans="2:7">
      <c r="B327" s="6" t="s">
        <v>299</v>
      </c>
      <c r="C327" s="209" t="s">
        <v>988</v>
      </c>
      <c r="D327" s="172">
        <v>0.49393805886730213</v>
      </c>
      <c r="E327" s="172">
        <v>-1.9324635625538713</v>
      </c>
      <c r="G327" s="9" t="s">
        <v>1160</v>
      </c>
    </row>
    <row r="328" spans="2:7">
      <c r="B328" s="6" t="s">
        <v>300</v>
      </c>
      <c r="C328" s="209" t="s">
        <v>988</v>
      </c>
      <c r="D328" s="172">
        <v>2.0560960888355106</v>
      </c>
      <c r="E328" s="172">
        <v>-0.79869562950635764</v>
      </c>
    </row>
    <row r="329" spans="2:7">
      <c r="B329" s="6" t="s">
        <v>301</v>
      </c>
      <c r="C329" s="209" t="s">
        <v>988</v>
      </c>
      <c r="D329" s="172">
        <v>-0.93517878106340113</v>
      </c>
      <c r="E329" s="172">
        <v>0.15963977715305866</v>
      </c>
      <c r="G329" s="9" t="s">
        <v>1161</v>
      </c>
    </row>
    <row r="330" spans="2:7">
      <c r="B330" s="6" t="s">
        <v>302</v>
      </c>
      <c r="C330" s="209" t="s">
        <v>989</v>
      </c>
      <c r="D330" s="172">
        <v>0.85759684559446825</v>
      </c>
      <c r="E330" s="172">
        <v>1.5122462819267612</v>
      </c>
      <c r="G330" s="9" t="s">
        <v>1162</v>
      </c>
    </row>
    <row r="331" spans="2:7">
      <c r="B331" s="6" t="s">
        <v>303</v>
      </c>
      <c r="C331" s="209" t="s">
        <v>989</v>
      </c>
      <c r="D331" s="172">
        <v>2.0752411037369773</v>
      </c>
      <c r="E331" s="172">
        <v>2.1224427880955412</v>
      </c>
      <c r="G331" s="9" t="s">
        <v>1163</v>
      </c>
    </row>
    <row r="332" spans="2:7">
      <c r="B332" s="6" t="s">
        <v>304</v>
      </c>
      <c r="C332" s="209" t="s">
        <v>989</v>
      </c>
      <c r="D332" s="172">
        <v>-0.71498408171706362</v>
      </c>
      <c r="E332" s="172">
        <v>1.7550816535171876E-2</v>
      </c>
      <c r="G332" s="99" t="s">
        <v>1164</v>
      </c>
    </row>
    <row r="333" spans="2:7">
      <c r="B333" s="6" t="s">
        <v>305</v>
      </c>
      <c r="C333" s="209" t="s">
        <v>989</v>
      </c>
      <c r="D333" s="172">
        <v>1.9553166067386023</v>
      </c>
      <c r="E333" s="172">
        <v>-0.33750584472441858</v>
      </c>
      <c r="G333" s="9" t="s">
        <v>1165</v>
      </c>
    </row>
    <row r="334" spans="2:7">
      <c r="B334" s="6" t="s">
        <v>306</v>
      </c>
      <c r="C334" s="209" t="s">
        <v>989</v>
      </c>
      <c r="D334" s="172">
        <v>1.7649509228756415</v>
      </c>
      <c r="E334" s="172">
        <v>-1.8819277119722422E-2</v>
      </c>
    </row>
    <row r="335" spans="2:7">
      <c r="B335" s="6" t="s">
        <v>307</v>
      </c>
      <c r="C335" s="209" t="s">
        <v>989</v>
      </c>
      <c r="D335" s="172">
        <v>1.0042480631265143</v>
      </c>
      <c r="E335" s="172">
        <v>0.6509188408726363</v>
      </c>
      <c r="G335" t="s">
        <v>1223</v>
      </c>
    </row>
    <row r="336" spans="2:7">
      <c r="B336" s="6" t="s">
        <v>308</v>
      </c>
      <c r="C336" s="209" t="s">
        <v>990</v>
      </c>
      <c r="D336" s="172">
        <v>-1.4569685104914747</v>
      </c>
      <c r="E336" s="172">
        <v>1.0367514611449717</v>
      </c>
    </row>
    <row r="337" spans="2:11">
      <c r="B337" s="6" t="s">
        <v>309</v>
      </c>
      <c r="C337" s="209" t="s">
        <v>990</v>
      </c>
      <c r="D337" s="172">
        <v>-0.92541414971213065</v>
      </c>
      <c r="E337" s="172">
        <v>1.3746508497410783</v>
      </c>
    </row>
    <row r="338" spans="2:11">
      <c r="B338" s="6" t="s">
        <v>310</v>
      </c>
      <c r="C338" s="209" t="s">
        <v>990</v>
      </c>
      <c r="D338" s="172">
        <v>-2.3299329817645535</v>
      </c>
      <c r="E338" s="172">
        <v>-1.0583322828219242</v>
      </c>
    </row>
    <row r="339" spans="2:11">
      <c r="B339" s="6" t="s">
        <v>311</v>
      </c>
      <c r="C339" s="209" t="s">
        <v>990</v>
      </c>
      <c r="D339" s="172">
        <v>-1.9215979987608955</v>
      </c>
      <c r="E339" s="172">
        <v>-0.76936800006594375</v>
      </c>
    </row>
    <row r="340" spans="2:11">
      <c r="B340" s="6" t="s">
        <v>312</v>
      </c>
      <c r="C340" s="209" t="s">
        <v>990</v>
      </c>
      <c r="D340" s="172">
        <v>-1.4659107628291661</v>
      </c>
      <c r="E340" s="172">
        <v>-2.6279353897213475E-2</v>
      </c>
    </row>
    <row r="341" spans="2:11">
      <c r="B341" s="6" t="s">
        <v>313</v>
      </c>
      <c r="C341" s="209" t="s">
        <v>990</v>
      </c>
      <c r="D341" s="172">
        <v>-0.85014576899434768</v>
      </c>
      <c r="E341" s="172">
        <v>1.2200434573874501</v>
      </c>
    </row>
    <row r="343" spans="2:11">
      <c r="B343" s="6" t="s">
        <v>993</v>
      </c>
      <c r="C343" s="101" t="s">
        <v>1077</v>
      </c>
      <c r="D343" s="168">
        <f>AVERAGE(D324:D341)</f>
        <v>-1.7763568394002505E-15</v>
      </c>
      <c r="E343" s="168">
        <f>AVERAGE(E324:E341)</f>
        <v>-6.9080543754454186E-16</v>
      </c>
      <c r="F343" s="211" t="s">
        <v>1099</v>
      </c>
      <c r="G343" s="211"/>
      <c r="H343" s="211"/>
      <c r="I343" s="211"/>
      <c r="J343" s="211"/>
      <c r="K343" s="211"/>
    </row>
    <row r="344" spans="2:11">
      <c r="B344" s="6" t="s">
        <v>1078</v>
      </c>
      <c r="C344" s="101" t="s">
        <v>1077</v>
      </c>
      <c r="D344" s="168">
        <f>_xlfn.STDEV.P(D324:D341)</f>
        <v>1.4347826020421528</v>
      </c>
      <c r="E344" s="168">
        <f>_xlfn.STDEV.P(E324:E341)</f>
        <v>1.1446513654846777</v>
      </c>
    </row>
    <row r="345" spans="2:11">
      <c r="B345" s="6" t="s">
        <v>1175</v>
      </c>
      <c r="C345" s="101" t="s">
        <v>1077</v>
      </c>
      <c r="D345" s="168">
        <f>6*(_xlfn.VAR.P(D324:D329)+_xlfn.VAR.P(D330:D335)+_xlfn.VAR.P(D336:D341))/(18-3)</f>
        <v>1</v>
      </c>
      <c r="E345" s="168">
        <f>6*(_xlfn.VAR.P(E324:E329)+_xlfn.VAR.P(E330:E335)+_xlfn.VAR.P(E336:E341))/(18-3)</f>
        <v>1.0000000000000002</v>
      </c>
      <c r="F345" s="9" t="s">
        <v>1177</v>
      </c>
    </row>
    <row r="346" spans="2:11">
      <c r="B346" s="6" t="s">
        <v>1176</v>
      </c>
      <c r="C346" s="101" t="s">
        <v>1077</v>
      </c>
      <c r="D346" s="168">
        <f>SQRT(D345)</f>
        <v>1</v>
      </c>
      <c r="E346" s="168">
        <f>SQRT(E345)</f>
        <v>1</v>
      </c>
    </row>
    <row r="349" spans="2:11">
      <c r="C349" s="6"/>
      <c r="D349" s="6" t="s">
        <v>1079</v>
      </c>
      <c r="E349" s="6" t="s">
        <v>1080</v>
      </c>
    </row>
    <row r="350" spans="2:11">
      <c r="C350" s="6" t="s">
        <v>1079</v>
      </c>
      <c r="D350" s="168">
        <f t="array" ref="D350:E351">MMULT(TRANSPOSE(D324:E341),D324:E341)</f>
        <v>37.054820072211314</v>
      </c>
      <c r="E350" s="168">
        <v>-3.8613556796462944E-13</v>
      </c>
    </row>
    <row r="351" spans="2:11">
      <c r="C351" s="6" t="s">
        <v>1080</v>
      </c>
      <c r="D351" s="168">
        <v>-3.8613556796462944E-13</v>
      </c>
      <c r="E351" s="168">
        <v>23.58408147310687</v>
      </c>
    </row>
    <row r="353" spans="1:13">
      <c r="C353" s="12" t="s">
        <v>1081</v>
      </c>
    </row>
    <row r="355" spans="1:13">
      <c r="B355" s="6" t="s">
        <v>560</v>
      </c>
      <c r="C355" s="209" t="s">
        <v>1082</v>
      </c>
      <c r="D355" s="209"/>
      <c r="E355" s="209"/>
      <c r="F355" s="209"/>
      <c r="G355" s="209"/>
      <c r="H355" s="209"/>
      <c r="I355" s="209"/>
    </row>
    <row r="356" spans="1:13">
      <c r="C356" s="209"/>
      <c r="D356" s="209"/>
      <c r="E356" s="209"/>
      <c r="F356" s="209"/>
      <c r="G356" s="209"/>
      <c r="H356" s="209"/>
      <c r="I356" s="209"/>
    </row>
    <row r="357" spans="1:13">
      <c r="C357" s="237" t="s">
        <v>1169</v>
      </c>
      <c r="D357" s="209"/>
      <c r="E357" s="209"/>
      <c r="F357" s="209"/>
      <c r="G357" s="209"/>
      <c r="H357" s="209"/>
      <c r="I357" s="209"/>
    </row>
    <row r="358" spans="1:13">
      <c r="C358" s="209" t="s">
        <v>1170</v>
      </c>
      <c r="D358" s="209"/>
      <c r="E358" s="209"/>
      <c r="F358" s="209"/>
      <c r="G358" s="209"/>
      <c r="H358" s="209"/>
      <c r="I358" s="209"/>
    </row>
    <row r="359" spans="1:13">
      <c r="C359" s="230" t="s">
        <v>1174</v>
      </c>
      <c r="D359" s="230"/>
      <c r="E359" s="230"/>
      <c r="F359" s="230"/>
      <c r="G359" s="230"/>
      <c r="H359" s="230"/>
      <c r="I359" s="230"/>
    </row>
    <row r="360" spans="1:13">
      <c r="C360" s="209" t="s">
        <v>1171</v>
      </c>
      <c r="D360" s="209"/>
      <c r="E360" s="209"/>
      <c r="F360" s="209"/>
      <c r="G360" s="209"/>
      <c r="H360" s="209"/>
      <c r="I360" s="209"/>
    </row>
    <row r="361" spans="1:13">
      <c r="C361" s="209" t="s">
        <v>1172</v>
      </c>
      <c r="D361" s="209"/>
      <c r="E361" s="209"/>
      <c r="F361" s="209"/>
      <c r="G361" s="209"/>
      <c r="H361" s="209"/>
      <c r="I361" s="209"/>
    </row>
    <row r="362" spans="1:13">
      <c r="C362" s="209" t="s">
        <v>1173</v>
      </c>
      <c r="D362" s="209"/>
      <c r="E362" s="209"/>
      <c r="F362" s="209"/>
      <c r="G362" s="209"/>
      <c r="H362" s="209"/>
      <c r="I362" s="209"/>
    </row>
    <row r="366" spans="1:13">
      <c r="A366" s="24" t="s">
        <v>1179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9" spans="2:9">
      <c r="B369" s="241" t="s">
        <v>338</v>
      </c>
      <c r="C369" s="241" t="s">
        <v>1102</v>
      </c>
      <c r="D369" s="241"/>
      <c r="E369" s="241"/>
    </row>
    <row r="370" spans="2:9">
      <c r="B370" s="241"/>
      <c r="C370" s="6" t="s">
        <v>988</v>
      </c>
      <c r="D370" s="6" t="s">
        <v>989</v>
      </c>
      <c r="E370" s="6" t="s">
        <v>990</v>
      </c>
    </row>
    <row r="371" spans="2:9">
      <c r="B371" s="6" t="s">
        <v>533</v>
      </c>
      <c r="C371" s="172">
        <v>3.981011441739827</v>
      </c>
      <c r="D371" s="172">
        <v>3.4491578390142741</v>
      </c>
      <c r="E371" s="172">
        <v>4.3224138489327286</v>
      </c>
    </row>
    <row r="372" spans="2:9">
      <c r="B372" s="6" t="s">
        <v>534</v>
      </c>
      <c r="C372" s="172">
        <v>-1.0572128952771775</v>
      </c>
      <c r="D372" s="172">
        <v>0.16271223012691274</v>
      </c>
      <c r="E372" s="172">
        <v>1.4455609489561017</v>
      </c>
    </row>
    <row r="373" spans="2:9">
      <c r="B373" s="6" t="s">
        <v>611</v>
      </c>
      <c r="C373" s="172">
        <v>7.4003525885145756</v>
      </c>
      <c r="D373" s="172">
        <v>8.2013004185176346</v>
      </c>
      <c r="E373" s="172">
        <v>5.2866868290948199</v>
      </c>
    </row>
    <row r="374" spans="2:9">
      <c r="B374" s="6" t="s">
        <v>1103</v>
      </c>
      <c r="C374" s="172">
        <v>-43.702659330014285</v>
      </c>
      <c r="D374" s="172">
        <v>-57.951685145608643</v>
      </c>
      <c r="E374" s="172">
        <v>-44.106906657023835</v>
      </c>
    </row>
    <row r="376" spans="2:9">
      <c r="C376" s="6" t="s">
        <v>877</v>
      </c>
      <c r="D376" s="6" t="s">
        <v>878</v>
      </c>
      <c r="E376" s="6" t="s">
        <v>1105</v>
      </c>
      <c r="F376" s="6" t="s">
        <v>1106</v>
      </c>
    </row>
    <row r="377" spans="2:9">
      <c r="B377" s="125" t="s">
        <v>988</v>
      </c>
      <c r="C377" s="168">
        <v>3.981011441739827</v>
      </c>
      <c r="D377" s="168">
        <v>-1.0572128952771775</v>
      </c>
      <c r="E377" s="168">
        <v>7.4003525885145756</v>
      </c>
      <c r="F377" s="168">
        <v>-43.702659330014285</v>
      </c>
    </row>
    <row r="378" spans="2:9">
      <c r="B378" s="125" t="s">
        <v>989</v>
      </c>
      <c r="C378" s="168">
        <v>3.4491578390142741</v>
      </c>
      <c r="D378" s="168">
        <v>0.16271223012691274</v>
      </c>
      <c r="E378" s="168">
        <v>8.2013004185176346</v>
      </c>
      <c r="F378" s="168">
        <v>-57.951685145608643</v>
      </c>
    </row>
    <row r="379" spans="2:9">
      <c r="B379" s="125" t="s">
        <v>990</v>
      </c>
      <c r="C379" s="168">
        <v>4.3224138489327286</v>
      </c>
      <c r="D379" s="168">
        <v>1.4455609489561017</v>
      </c>
      <c r="E379" s="168">
        <v>5.2866868290948199</v>
      </c>
      <c r="F379" s="168">
        <v>-44.106906657023835</v>
      </c>
    </row>
    <row r="381" spans="2:9">
      <c r="B381" s="125" t="s">
        <v>6</v>
      </c>
      <c r="C381" s="228" t="s">
        <v>1178</v>
      </c>
      <c r="D381" s="228"/>
      <c r="E381" s="228"/>
      <c r="F381" s="228"/>
      <c r="G381" s="228"/>
      <c r="H381" s="228"/>
      <c r="I381" s="228"/>
    </row>
    <row r="382" spans="2:9">
      <c r="C382" s="228" t="s">
        <v>1104</v>
      </c>
      <c r="D382" s="228"/>
      <c r="E382" s="228"/>
      <c r="F382" s="228"/>
      <c r="G382" s="228"/>
      <c r="H382" s="228"/>
      <c r="I382" s="228"/>
    </row>
    <row r="383" spans="2:9">
      <c r="C383" s="228"/>
      <c r="D383" s="228"/>
      <c r="E383" s="228"/>
      <c r="F383" s="228"/>
      <c r="G383" s="228"/>
      <c r="H383" s="228"/>
      <c r="I383" s="228"/>
    </row>
    <row r="387" spans="1:13">
      <c r="A387" s="235" t="s">
        <v>1220</v>
      </c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</row>
    <row r="388" spans="1:13">
      <c r="A388" s="235" t="s">
        <v>1218</v>
      </c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</row>
    <row r="389" spans="1:13">
      <c r="A389" s="24" t="s">
        <v>1114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</row>
    <row r="392" spans="1:13">
      <c r="C392" s="259" t="s">
        <v>1108</v>
      </c>
      <c r="D392" s="259"/>
      <c r="E392" s="259"/>
      <c r="F392" s="259" t="s">
        <v>1107</v>
      </c>
      <c r="G392" s="259"/>
      <c r="H392" s="259"/>
      <c r="I392" s="259" t="s">
        <v>1112</v>
      </c>
      <c r="J392" s="259"/>
      <c r="K392" s="259"/>
    </row>
    <row r="393" spans="1:13">
      <c r="B393" s="6" t="s">
        <v>671</v>
      </c>
      <c r="C393" s="6" t="s">
        <v>533</v>
      </c>
      <c r="D393" s="6" t="s">
        <v>534</v>
      </c>
      <c r="E393" s="6" t="s">
        <v>611</v>
      </c>
      <c r="F393" s="6" t="s">
        <v>988</v>
      </c>
      <c r="G393" s="6" t="s">
        <v>989</v>
      </c>
      <c r="H393" s="6" t="s">
        <v>990</v>
      </c>
      <c r="I393" s="6" t="s">
        <v>988</v>
      </c>
      <c r="J393" s="6" t="s">
        <v>989</v>
      </c>
      <c r="K393" s="6" t="s">
        <v>990</v>
      </c>
    </row>
    <row r="394" spans="1:13">
      <c r="B394" s="94" t="s">
        <v>988</v>
      </c>
      <c r="C394" s="214">
        <v>4.45</v>
      </c>
      <c r="D394" s="214">
        <v>6.99</v>
      </c>
      <c r="E394" s="217">
        <v>8.6999999999999993</v>
      </c>
      <c r="F394" s="231">
        <f>SUMPRODUCT($C$377:$E$377,$C394:$E394)+$F$377</f>
        <v>31.005990967817283</v>
      </c>
      <c r="G394" s="231">
        <f>SUMPRODUCT($C$378:$E$378,$C394:$E394)+$F$378</f>
        <v>29.885739367695415</v>
      </c>
      <c r="H394" s="231">
        <f>SUMPRODUCT($C$379:$E$379,$C394:$E394)+$F$379</f>
        <v>31.226481417054892</v>
      </c>
      <c r="I394" s="67">
        <f>IF(F394=MAX($F394:$H394),1,0)</f>
        <v>0</v>
      </c>
      <c r="J394" s="169">
        <f>IF(G394=MAX($F394:$H394),1,0)</f>
        <v>0</v>
      </c>
      <c r="K394" s="8">
        <f>IF(H394=MAX($F394:$H394),1,0)</f>
        <v>1</v>
      </c>
    </row>
    <row r="395" spans="1:13">
      <c r="B395" s="212" t="s">
        <v>988</v>
      </c>
      <c r="C395" s="215">
        <v>4.63</v>
      </c>
      <c r="D395" s="215">
        <v>5.13</v>
      </c>
      <c r="E395" s="218">
        <v>9.65</v>
      </c>
      <c r="F395" s="232">
        <f t="shared" ref="F395:F411" si="0">SUMPRODUCT($C$377:$E$377,$C395:$E395)+$F$377</f>
        <v>40.71932397163485</v>
      </c>
      <c r="G395" s="232">
        <f t="shared" ref="G395:G411" si="1">SUMPRODUCT($C$378:$E$378,$C395:$E395)+$F$378</f>
        <v>37.995178428273682</v>
      </c>
      <c r="H395" s="232">
        <f t="shared" ref="H395:H411" si="2">SUMPRODUCT($C$379:$E$379,$C395:$E395)+$F$379</f>
        <v>34.338125032444516</v>
      </c>
      <c r="I395" s="68">
        <f t="shared" ref="I395:I411" si="3">IF(F395=MAX($F395:$H395),1,0)</f>
        <v>1</v>
      </c>
      <c r="J395" s="169">
        <f t="shared" ref="J395:J411" si="4">IF(G395=MAX($F395:$H395),1,0)</f>
        <v>0</v>
      </c>
      <c r="K395" s="8">
        <f t="shared" ref="K395:K411" si="5">IF(H395=MAX($F395:$H395),1,0)</f>
        <v>0</v>
      </c>
    </row>
    <row r="396" spans="1:13">
      <c r="B396" s="212" t="s">
        <v>988</v>
      </c>
      <c r="C396" s="215">
        <v>5.57</v>
      </c>
      <c r="D396" s="215">
        <v>6.66</v>
      </c>
      <c r="E396" s="218">
        <v>8.8000000000000007</v>
      </c>
      <c r="F396" s="232">
        <f t="shared" si="0"/>
        <v>36.553639296858819</v>
      </c>
      <c r="G396" s="232">
        <f t="shared" si="1"/>
        <v>34.515231153301293</v>
      </c>
      <c r="H396" s="232">
        <f t="shared" si="2"/>
        <v>36.11921849761351</v>
      </c>
      <c r="I396" s="68">
        <f t="shared" si="3"/>
        <v>1</v>
      </c>
      <c r="J396" s="169">
        <f t="shared" si="4"/>
        <v>0</v>
      </c>
      <c r="K396" s="8">
        <f t="shared" si="5"/>
        <v>0</v>
      </c>
    </row>
    <row r="397" spans="1:13">
      <c r="B397" s="212" t="s">
        <v>988</v>
      </c>
      <c r="C397" s="215">
        <v>4.97</v>
      </c>
      <c r="D397" s="215">
        <v>5.45</v>
      </c>
      <c r="E397" s="218">
        <v>8.94</v>
      </c>
      <c r="F397" s="232">
        <f t="shared" si="0"/>
        <v>36.480309397492334</v>
      </c>
      <c r="G397" s="232">
        <f t="shared" si="1"/>
        <v>33.397036710031621</v>
      </c>
      <c r="H397" s="232">
        <f t="shared" si="2"/>
        <v>32.516777596090272</v>
      </c>
      <c r="I397" s="68">
        <f t="shared" si="3"/>
        <v>1</v>
      </c>
      <c r="J397" s="169">
        <f t="shared" si="4"/>
        <v>0</v>
      </c>
      <c r="K397" s="8">
        <f t="shared" si="5"/>
        <v>0</v>
      </c>
    </row>
    <row r="398" spans="1:13">
      <c r="B398" s="212" t="s">
        <v>988</v>
      </c>
      <c r="C398" s="215">
        <v>5.7</v>
      </c>
      <c r="D398" s="215">
        <v>6.7700000000000005</v>
      </c>
      <c r="E398" s="218">
        <v>11.3</v>
      </c>
      <c r="F398" s="232">
        <f t="shared" si="0"/>
        <v>55.45575883709094</v>
      </c>
      <c r="G398" s="232">
        <f t="shared" si="1"/>
        <v>55.484771063981206</v>
      </c>
      <c r="H398" s="232">
        <f t="shared" si="2"/>
        <v>50.056861075096997</v>
      </c>
      <c r="I398" s="68">
        <f t="shared" si="3"/>
        <v>0</v>
      </c>
      <c r="J398" s="169">
        <f t="shared" si="4"/>
        <v>1</v>
      </c>
      <c r="K398" s="8">
        <f t="shared" si="5"/>
        <v>0</v>
      </c>
    </row>
    <row r="399" spans="1:13">
      <c r="B399" s="213" t="s">
        <v>988</v>
      </c>
      <c r="C399" s="216">
        <v>7.36</v>
      </c>
      <c r="D399" s="216">
        <v>7.8199999999999994</v>
      </c>
      <c r="E399" s="219">
        <v>9.66</v>
      </c>
      <c r="F399" s="233">
        <f t="shared" si="0"/>
        <v>48.817586045174124</v>
      </c>
      <c r="G399" s="233">
        <f t="shared" si="1"/>
        <v>47.931088232009223</v>
      </c>
      <c r="H399" s="233">
        <f t="shared" si="2"/>
        <v>50.079740661013723</v>
      </c>
      <c r="I399" s="69">
        <f t="shared" si="3"/>
        <v>0</v>
      </c>
      <c r="J399" s="171">
        <f t="shared" si="4"/>
        <v>0</v>
      </c>
      <c r="K399" s="8">
        <f t="shared" si="5"/>
        <v>1</v>
      </c>
    </row>
    <row r="400" spans="1:13">
      <c r="B400" s="94" t="s">
        <v>989</v>
      </c>
      <c r="C400" s="214">
        <v>7.42</v>
      </c>
      <c r="D400" s="214">
        <v>9.24</v>
      </c>
      <c r="E400" s="217">
        <v>12.1</v>
      </c>
      <c r="F400" s="231">
        <f t="shared" si="0"/>
        <v>65.612064736360466</v>
      </c>
      <c r="G400" s="231">
        <f t="shared" si="1"/>
        <v>68.380262090313323</v>
      </c>
      <c r="H400" s="231">
        <f t="shared" si="2"/>
        <v>65.291297902458695</v>
      </c>
      <c r="I400" s="170">
        <f t="shared" si="3"/>
        <v>0</v>
      </c>
      <c r="J400" s="67">
        <f t="shared" si="4"/>
        <v>1</v>
      </c>
      <c r="K400" s="169">
        <f t="shared" si="5"/>
        <v>0</v>
      </c>
    </row>
    <row r="401" spans="2:11">
      <c r="B401" s="212" t="s">
        <v>989</v>
      </c>
      <c r="C401" s="215">
        <v>6.18</v>
      </c>
      <c r="D401" s="215">
        <v>9.67</v>
      </c>
      <c r="E401" s="218">
        <v>13.1</v>
      </c>
      <c r="F401" s="232">
        <f t="shared" si="0"/>
        <v>67.621361592148475</v>
      </c>
      <c r="G401" s="232">
        <f t="shared" si="1"/>
        <v>72.374573047407807</v>
      </c>
      <c r="H401" s="232">
        <f t="shared" si="2"/>
        <v>65.839782766928067</v>
      </c>
      <c r="I401" s="65">
        <f t="shared" si="3"/>
        <v>0</v>
      </c>
      <c r="J401" s="68">
        <f t="shared" si="4"/>
        <v>1</v>
      </c>
      <c r="K401" s="169">
        <f t="shared" si="5"/>
        <v>0</v>
      </c>
    </row>
    <row r="402" spans="2:11">
      <c r="B402" s="212" t="s">
        <v>989</v>
      </c>
      <c r="C402" s="215">
        <v>5.87</v>
      </c>
      <c r="D402" s="215">
        <v>7.42</v>
      </c>
      <c r="E402" s="218">
        <v>9.2200000000000006</v>
      </c>
      <c r="F402" s="232">
        <f t="shared" si="0"/>
        <v>40.052609016146235</v>
      </c>
      <c r="G402" s="232">
        <f t="shared" si="1"/>
        <v>39.118185975679431</v>
      </c>
      <c r="H402" s="232">
        <f t="shared" si="2"/>
        <v>40.734977441719799</v>
      </c>
      <c r="I402" s="65">
        <f t="shared" si="3"/>
        <v>0</v>
      </c>
      <c r="J402" s="68">
        <f t="shared" si="4"/>
        <v>0</v>
      </c>
      <c r="K402" s="169">
        <f t="shared" si="5"/>
        <v>1</v>
      </c>
    </row>
    <row r="403" spans="2:11">
      <c r="B403" s="212" t="s">
        <v>989</v>
      </c>
      <c r="C403" s="215">
        <v>5.39</v>
      </c>
      <c r="D403" s="215">
        <v>7.15</v>
      </c>
      <c r="E403" s="218">
        <v>11.34</v>
      </c>
      <c r="F403" s="232">
        <f t="shared" si="0"/>
        <v>54.115918493486845</v>
      </c>
      <c r="G403" s="232">
        <f t="shared" si="1"/>
        <v>54.805414798075695</v>
      </c>
      <c r="H403" s="232">
        <f t="shared" si="2"/>
        <v>49.477693415694951</v>
      </c>
      <c r="I403" s="65">
        <f t="shared" si="3"/>
        <v>0</v>
      </c>
      <c r="J403" s="68">
        <f t="shared" si="4"/>
        <v>1</v>
      </c>
      <c r="K403" s="169">
        <f t="shared" si="5"/>
        <v>0</v>
      </c>
    </row>
    <row r="404" spans="2:11">
      <c r="B404" s="212" t="s">
        <v>989</v>
      </c>
      <c r="C404" s="215">
        <v>4.7699999999999996</v>
      </c>
      <c r="D404" s="215">
        <v>7.33</v>
      </c>
      <c r="E404" s="218">
        <v>11.1</v>
      </c>
      <c r="F404" s="232">
        <f t="shared" si="0"/>
        <v>49.681308457214769</v>
      </c>
      <c r="G404" s="232">
        <f t="shared" si="1"/>
        <v>50.727913038865459</v>
      </c>
      <c r="H404" s="232">
        <f t="shared" si="2"/>
        <v>45.789192961185996</v>
      </c>
      <c r="I404" s="65">
        <f t="shared" si="3"/>
        <v>0</v>
      </c>
      <c r="J404" s="68">
        <f t="shared" si="4"/>
        <v>1</v>
      </c>
      <c r="K404" s="169">
        <f t="shared" si="5"/>
        <v>0</v>
      </c>
    </row>
    <row r="405" spans="2:11">
      <c r="B405" s="213" t="s">
        <v>989</v>
      </c>
      <c r="C405" s="216">
        <v>4.9400000000000004</v>
      </c>
      <c r="D405" s="216">
        <v>7.96</v>
      </c>
      <c r="E405" s="219">
        <v>10.82</v>
      </c>
      <c r="F405" s="233">
        <f t="shared" si="0"/>
        <v>47.619937553501842</v>
      </c>
      <c r="G405" s="233">
        <f t="shared" si="1"/>
        <v>49.12041445929291</v>
      </c>
      <c r="H405" s="233">
        <f t="shared" si="2"/>
        <v>45.954434401200366</v>
      </c>
      <c r="I405" s="65">
        <f t="shared" si="3"/>
        <v>0</v>
      </c>
      <c r="J405" s="69">
        <f t="shared" si="4"/>
        <v>1</v>
      </c>
      <c r="K405" s="171">
        <f t="shared" si="5"/>
        <v>0</v>
      </c>
    </row>
    <row r="406" spans="2:11">
      <c r="B406" s="94" t="s">
        <v>990</v>
      </c>
      <c r="C406" s="214">
        <v>7.8717342995918216</v>
      </c>
      <c r="D406" s="214">
        <v>8.7272690908018653</v>
      </c>
      <c r="E406" s="217">
        <v>9.8472690908018645</v>
      </c>
      <c r="F406" s="231">
        <f t="shared" si="0"/>
        <v>51.281486865562087</v>
      </c>
      <c r="G406" s="231">
        <f t="shared" si="1"/>
        <v>51.379614452797178</v>
      </c>
      <c r="H406" s="231">
        <f t="shared" si="2"/>
        <v>54.593213888240165</v>
      </c>
      <c r="I406" s="8">
        <f t="shared" si="3"/>
        <v>0</v>
      </c>
      <c r="J406" s="170">
        <f t="shared" si="4"/>
        <v>0</v>
      </c>
      <c r="K406" s="67">
        <f t="shared" si="5"/>
        <v>1</v>
      </c>
    </row>
    <row r="407" spans="2:11">
      <c r="B407" s="212" t="s">
        <v>990</v>
      </c>
      <c r="C407" s="215">
        <v>6.2103638228283717</v>
      </c>
      <c r="D407" s="215">
        <v>8.7758728924649994</v>
      </c>
      <c r="E407" s="218">
        <v>9.8958728924649986</v>
      </c>
      <c r="F407" s="232">
        <f t="shared" si="0"/>
        <v>44.97585269216971</v>
      </c>
      <c r="G407" s="232">
        <f t="shared" si="1"/>
        <v>46.055808261244302</v>
      </c>
      <c r="H407" s="232">
        <f t="shared" si="2"/>
        <v>47.739295967021327</v>
      </c>
      <c r="I407" s="8">
        <f t="shared" si="3"/>
        <v>0</v>
      </c>
      <c r="J407" s="65">
        <f t="shared" si="4"/>
        <v>0</v>
      </c>
      <c r="K407" s="68">
        <f t="shared" si="5"/>
        <v>1</v>
      </c>
    </row>
    <row r="408" spans="2:11">
      <c r="B408" s="212" t="s">
        <v>990</v>
      </c>
      <c r="C408" s="215">
        <v>7.3382852957125495</v>
      </c>
      <c r="D408" s="215">
        <v>6.5605476400346792</v>
      </c>
      <c r="E408" s="218">
        <v>7.6805476400346784</v>
      </c>
      <c r="F408" s="232">
        <f t="shared" si="0"/>
        <v>35.414003438983741</v>
      </c>
      <c r="G408" s="232">
        <f t="shared" si="1"/>
        <v>31.417179019046422</v>
      </c>
      <c r="H408" s="232">
        <f t="shared" si="2"/>
        <v>37.700520853590369</v>
      </c>
      <c r="I408" s="8">
        <f t="shared" si="3"/>
        <v>0</v>
      </c>
      <c r="J408" s="65">
        <f t="shared" si="4"/>
        <v>0</v>
      </c>
      <c r="K408" s="68">
        <f t="shared" si="5"/>
        <v>1</v>
      </c>
    </row>
    <row r="409" spans="2:11">
      <c r="B409" s="212" t="s">
        <v>990</v>
      </c>
      <c r="C409" s="215">
        <v>6.1242881881075153</v>
      </c>
      <c r="D409" s="215">
        <v>6.637712181553967</v>
      </c>
      <c r="E409" s="218">
        <v>7.7577121815539662</v>
      </c>
      <c r="F409" s="232">
        <f t="shared" si="0"/>
        <v>31.070532529590494</v>
      </c>
      <c r="G409" s="232">
        <f t="shared" si="1"/>
        <v>27.875316580104034</v>
      </c>
      <c r="H409" s="232">
        <f t="shared" si="2"/>
        <v>32.972613756301634</v>
      </c>
      <c r="I409" s="8">
        <f t="shared" si="3"/>
        <v>0</v>
      </c>
      <c r="J409" s="65">
        <f t="shared" si="4"/>
        <v>0</v>
      </c>
      <c r="K409" s="68">
        <f t="shared" si="5"/>
        <v>1</v>
      </c>
    </row>
    <row r="410" spans="2:11">
      <c r="B410" s="212" t="s">
        <v>990</v>
      </c>
      <c r="C410" s="215">
        <v>5.6603305381258417</v>
      </c>
      <c r="D410" s="215">
        <v>7.2937550075112707</v>
      </c>
      <c r="E410" s="218">
        <v>8.4137550075112699</v>
      </c>
      <c r="F410" s="232">
        <f t="shared" si="0"/>
        <v>33.384883106324139</v>
      </c>
      <c r="G410" s="232">
        <f t="shared" si="1"/>
        <v>31.762203909058506</v>
      </c>
      <c r="H410" s="232">
        <f t="shared" si="2"/>
        <v>35.383839642059876</v>
      </c>
      <c r="I410" s="8">
        <f t="shared" si="3"/>
        <v>0</v>
      </c>
      <c r="J410" s="65">
        <f t="shared" si="4"/>
        <v>0</v>
      </c>
      <c r="K410" s="68">
        <f t="shared" si="5"/>
        <v>1</v>
      </c>
    </row>
    <row r="411" spans="2:11">
      <c r="B411" s="213" t="s">
        <v>990</v>
      </c>
      <c r="C411" s="216">
        <v>5.5463355129630765</v>
      </c>
      <c r="D411" s="216">
        <v>8.5084313940498735</v>
      </c>
      <c r="E411" s="219">
        <v>9.6284313940498727</v>
      </c>
      <c r="F411" s="233">
        <f t="shared" si="0"/>
        <v>40.635929608740923</v>
      </c>
      <c r="G411" s="233">
        <f t="shared" si="1"/>
        <v>41.528585735428457</v>
      </c>
      <c r="H411" s="233">
        <f t="shared" si="2"/>
        <v>43.068608370912337</v>
      </c>
      <c r="I411" s="8">
        <f t="shared" si="3"/>
        <v>0</v>
      </c>
      <c r="J411" s="65">
        <f t="shared" si="4"/>
        <v>0</v>
      </c>
      <c r="K411" s="69">
        <f t="shared" si="5"/>
        <v>1</v>
      </c>
    </row>
    <row r="412" spans="2:11">
      <c r="F412" t="s">
        <v>1109</v>
      </c>
    </row>
    <row r="413" spans="2:11">
      <c r="F413" t="s">
        <v>1110</v>
      </c>
    </row>
    <row r="414" spans="2:11">
      <c r="F414" t="s">
        <v>1111</v>
      </c>
    </row>
    <row r="418" spans="1:13">
      <c r="A418" s="24" t="s">
        <v>1113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</row>
    <row r="421" spans="1:13">
      <c r="C421" s="227" t="s">
        <v>1115</v>
      </c>
      <c r="D421" s="227"/>
      <c r="E421" s="227"/>
    </row>
    <row r="422" spans="1:13">
      <c r="B422" s="227" t="s">
        <v>1116</v>
      </c>
      <c r="C422" s="6" t="s">
        <v>988</v>
      </c>
      <c r="D422" s="6" t="s">
        <v>989</v>
      </c>
      <c r="E422" s="6" t="s">
        <v>990</v>
      </c>
    </row>
    <row r="423" spans="1:13">
      <c r="B423" s="6" t="s">
        <v>988</v>
      </c>
      <c r="C423" s="8">
        <f>SUM(I394:I399)</f>
        <v>3</v>
      </c>
      <c r="D423" s="8">
        <f>SUM(J394:J399)</f>
        <v>1</v>
      </c>
      <c r="E423" s="8">
        <f>SUM(K394:K399)</f>
        <v>2</v>
      </c>
    </row>
    <row r="424" spans="1:13">
      <c r="B424" s="6" t="s">
        <v>989</v>
      </c>
      <c r="C424" s="8">
        <f>SUM(I400:I405)</f>
        <v>0</v>
      </c>
      <c r="D424" s="8">
        <f>SUM(J400:J405)</f>
        <v>5</v>
      </c>
      <c r="E424" s="8">
        <f>SUM(K400:K405)</f>
        <v>1</v>
      </c>
    </row>
    <row r="425" spans="1:13">
      <c r="B425" s="6" t="s">
        <v>990</v>
      </c>
      <c r="C425" s="8">
        <f>SUM(I406:I411)</f>
        <v>0</v>
      </c>
      <c r="D425" s="8">
        <f>SUM(J406:J411)</f>
        <v>0</v>
      </c>
      <c r="E425" s="8">
        <f>SUM(K406:K411)</f>
        <v>6</v>
      </c>
    </row>
    <row r="426" spans="1:13">
      <c r="C426" t="s">
        <v>1117</v>
      </c>
    </row>
    <row r="430" spans="1:13">
      <c r="A430" s="235" t="s">
        <v>1219</v>
      </c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</row>
    <row r="431" spans="1:13">
      <c r="A431" s="24" t="s">
        <v>1130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</row>
    <row r="434" spans="2:14" ht="14.25">
      <c r="B434" s="6" t="s">
        <v>1126</v>
      </c>
    </row>
    <row r="435" spans="2:14">
      <c r="B435" s="168">
        <f t="array" ref="B435:D437">MINVERSE(B83:D85)</f>
        <v>1.3485740715075196</v>
      </c>
      <c r="C435" s="168">
        <v>-0.72838298221313391</v>
      </c>
      <c r="D435" s="168">
        <v>0.1418141167938122</v>
      </c>
    </row>
    <row r="436" spans="2:14">
      <c r="B436" s="168">
        <v>-0.72838298221313402</v>
      </c>
      <c r="C436" s="168">
        <v>2.0034411115361093</v>
      </c>
      <c r="D436" s="168">
        <v>-1.0572007968934325</v>
      </c>
    </row>
    <row r="437" spans="2:14">
      <c r="B437" s="168">
        <v>0.1418141167938122</v>
      </c>
      <c r="C437" s="168">
        <v>-1.0572007968934325</v>
      </c>
      <c r="D437" s="168">
        <v>1.4164446122641441</v>
      </c>
    </row>
    <row r="439" spans="2:14">
      <c r="B439" s="6" t="s">
        <v>1131</v>
      </c>
      <c r="C439" s="228">
        <f>1/3</f>
        <v>0.33333333333333331</v>
      </c>
      <c r="D439" s="228">
        <f>1/3</f>
        <v>0.33333333333333331</v>
      </c>
      <c r="E439" s="228">
        <f>1-SUM(C439:D439)</f>
        <v>0.33333333333333337</v>
      </c>
    </row>
    <row r="441" spans="2:14">
      <c r="C441" s="259" t="s">
        <v>1108</v>
      </c>
      <c r="D441" s="259"/>
      <c r="E441" s="259"/>
      <c r="F441" s="259" t="s">
        <v>1118</v>
      </c>
      <c r="G441" s="259"/>
      <c r="H441" s="259"/>
      <c r="I441" s="259" t="s">
        <v>783</v>
      </c>
      <c r="J441" s="259"/>
      <c r="K441" s="259"/>
      <c r="L441" s="259" t="s">
        <v>1125</v>
      </c>
      <c r="M441" s="259"/>
      <c r="N441" s="259"/>
    </row>
    <row r="442" spans="2:14">
      <c r="B442" s="6" t="s">
        <v>671</v>
      </c>
      <c r="C442" s="6" t="s">
        <v>533</v>
      </c>
      <c r="D442" s="6" t="s">
        <v>534</v>
      </c>
      <c r="E442" s="6" t="s">
        <v>611</v>
      </c>
      <c r="F442" s="6" t="s">
        <v>1119</v>
      </c>
      <c r="G442" s="6" t="s">
        <v>1120</v>
      </c>
      <c r="H442" s="6" t="s">
        <v>1121</v>
      </c>
      <c r="I442" s="6" t="s">
        <v>1122</v>
      </c>
      <c r="J442" s="6" t="s">
        <v>1123</v>
      </c>
      <c r="K442" s="6" t="s">
        <v>1124</v>
      </c>
      <c r="L442" s="6" t="s">
        <v>988</v>
      </c>
      <c r="M442" s="6" t="s">
        <v>989</v>
      </c>
      <c r="N442" s="6" t="s">
        <v>990</v>
      </c>
    </row>
    <row r="443" spans="2:14">
      <c r="B443" s="94" t="s">
        <v>988</v>
      </c>
      <c r="C443" s="214">
        <v>4.45</v>
      </c>
      <c r="D443" s="214">
        <v>6.99</v>
      </c>
      <c r="E443" s="217">
        <v>8.6999999999999993</v>
      </c>
      <c r="F443" s="231">
        <f t="array" ref="F443">MMULT(MMULT(C443:E443-$C$48:$E$48,$B$435:$D$437),TRANSPOSE(C443:E443-$C$48:$E$48))</f>
        <v>4.6790865280183951</v>
      </c>
      <c r="G443" s="231">
        <f t="array" ref="G443">MMULT(MMULT(C443:E443-$C$49:$E$49,$B$435:$D$437),TRANSPOSE(C443:E443-$C$49:$E$49))</f>
        <v>6.9195897282622347</v>
      </c>
      <c r="H443" s="231">
        <f t="array" ref="H443">MMULT(MMULT(C443:E443-$C$50:$E$50,$B$435:$D$437),TRANSPOSE(C443:E443-$C$50:$E$50))</f>
        <v>4.2381056295432034</v>
      </c>
      <c r="I443" s="231">
        <f t="shared" ref="I443:I460" si="6">LN($E$85)+F443-2*LN(C$439)</f>
        <v>6.3188113081757304</v>
      </c>
      <c r="J443" s="231">
        <f t="shared" ref="J443:J460" si="7">LN($E$85)+G443-2*LN(D$439)</f>
        <v>8.5593145084195701</v>
      </c>
      <c r="K443" s="231">
        <f t="shared" ref="K443:K460" si="8">LN($E$85)+H443-2*LN(E$439)</f>
        <v>5.8778304097005378</v>
      </c>
      <c r="L443" s="67">
        <f>IF(I443=MIN($I443:$K443),1,0)</f>
        <v>0</v>
      </c>
      <c r="M443" s="169">
        <f>IF(J443=MIN($I443:$K443),1,0)</f>
        <v>0</v>
      </c>
      <c r="N443" s="8">
        <f>IF(K443=MIN($I443:$K443),1,0)</f>
        <v>1</v>
      </c>
    </row>
    <row r="444" spans="2:14">
      <c r="B444" s="212" t="s">
        <v>988</v>
      </c>
      <c r="C444" s="215">
        <v>4.63</v>
      </c>
      <c r="D444" s="215">
        <v>5.13</v>
      </c>
      <c r="E444" s="218">
        <v>9.65</v>
      </c>
      <c r="F444" s="232">
        <f t="array" ref="F444">MMULT(MMULT(C444:E444-$C$48:$E$48,$B$435:$D$437),TRANSPOSE(C444:E444-$C$48:$E$48))</f>
        <v>3.2996122391455209</v>
      </c>
      <c r="G444" s="232">
        <f t="array" ref="G444">MMULT(MMULT(C444:E444-$C$49:$E$49,$B$435:$D$437),TRANSPOSE(C444:E444-$C$49:$E$49))</f>
        <v>8.7479033258677248</v>
      </c>
      <c r="H444" s="232">
        <f t="array" ref="H444">MMULT(MMULT(C444:E444-$C$50:$E$50,$B$435:$D$437),TRANSPOSE(C444:E444-$C$50:$E$50))</f>
        <v>16.06201011752616</v>
      </c>
      <c r="I444" s="232">
        <f t="shared" si="6"/>
        <v>4.9393370193028563</v>
      </c>
      <c r="J444" s="232">
        <f t="shared" si="7"/>
        <v>10.38762810602506</v>
      </c>
      <c r="K444" s="232">
        <f t="shared" si="8"/>
        <v>17.701734897683494</v>
      </c>
      <c r="L444" s="68">
        <f t="shared" ref="L444:L460" si="9">IF(I444=MIN($I444:$K444),1,0)</f>
        <v>1</v>
      </c>
      <c r="M444" s="169">
        <f t="shared" ref="M444:M460" si="10">IF(J444=MIN($I444:$K444),1,0)</f>
        <v>0</v>
      </c>
      <c r="N444" s="8">
        <f t="shared" ref="N444:N460" si="11">IF(K444=MIN($I444:$K444),1,0)</f>
        <v>0</v>
      </c>
    </row>
    <row r="445" spans="2:14">
      <c r="B445" s="212" t="s">
        <v>988</v>
      </c>
      <c r="C445" s="215">
        <v>5.57</v>
      </c>
      <c r="D445" s="215">
        <v>6.66</v>
      </c>
      <c r="E445" s="218">
        <v>8.8000000000000007</v>
      </c>
      <c r="F445" s="232">
        <f t="array" ref="F445">MMULT(MMULT(C445:E445-$C$48:$E$48,$B$435:$D$437),TRANSPOSE(C445:E445-$C$48:$E$48))</f>
        <v>1.0291671999668097</v>
      </c>
      <c r="G445" s="232">
        <f t="array" ref="G445">MMULT(MMULT(C445:E445-$C$49:$E$49,$B$435:$D$437),TRANSPOSE(C445:E445-$C$49:$E$49))</f>
        <v>5.1059834870819074</v>
      </c>
      <c r="H445" s="232">
        <f t="array" ref="H445">MMULT(MMULT(C445:E445-$C$50:$E$50,$B$435:$D$437),TRANSPOSE(C445:E445-$C$50:$E$50))</f>
        <v>1.8980087984574086</v>
      </c>
      <c r="I445" s="232">
        <f t="shared" si="6"/>
        <v>2.6688919801241449</v>
      </c>
      <c r="J445" s="232">
        <f t="shared" si="7"/>
        <v>6.7457082672392428</v>
      </c>
      <c r="K445" s="232">
        <f t="shared" si="8"/>
        <v>3.5377335786147435</v>
      </c>
      <c r="L445" s="68">
        <f t="shared" si="9"/>
        <v>1</v>
      </c>
      <c r="M445" s="169">
        <f t="shared" si="10"/>
        <v>0</v>
      </c>
      <c r="N445" s="8">
        <f t="shared" si="11"/>
        <v>0</v>
      </c>
    </row>
    <row r="446" spans="2:14">
      <c r="B446" s="212" t="s">
        <v>988</v>
      </c>
      <c r="C446" s="215">
        <v>4.97</v>
      </c>
      <c r="D446" s="215">
        <v>5.45</v>
      </c>
      <c r="E446" s="218">
        <v>8.94</v>
      </c>
      <c r="F446" s="232">
        <f t="array" ref="F446">MMULT(MMULT(C446:E446-$C$48:$E$48,$B$435:$D$437),TRANSPOSE(C446:E446-$C$48:$E$48))</f>
        <v>0.9911449383437112</v>
      </c>
      <c r="G446" s="232">
        <f t="array" ref="G446">MMULT(MMULT(C446:E446-$C$49:$E$49,$B$435:$D$437),TRANSPOSE(C446:E446-$C$49:$E$49))</f>
        <v>7.1576903132650767</v>
      </c>
      <c r="H446" s="232">
        <f t="array" ref="H446">MMULT(MMULT(C446:E446-$C$50:$E$50,$B$435:$D$437),TRANSPOSE(C446:E446-$C$50:$E$50))</f>
        <v>8.9182085411478091</v>
      </c>
      <c r="I446" s="232">
        <f t="shared" si="6"/>
        <v>2.6308697185010463</v>
      </c>
      <c r="J446" s="232">
        <f t="shared" si="7"/>
        <v>8.797415093422412</v>
      </c>
      <c r="K446" s="232">
        <f t="shared" si="8"/>
        <v>10.557933321305143</v>
      </c>
      <c r="L446" s="68">
        <f t="shared" si="9"/>
        <v>1</v>
      </c>
      <c r="M446" s="169">
        <f t="shared" si="10"/>
        <v>0</v>
      </c>
      <c r="N446" s="8">
        <f t="shared" si="11"/>
        <v>0</v>
      </c>
    </row>
    <row r="447" spans="2:14">
      <c r="B447" s="212" t="s">
        <v>988</v>
      </c>
      <c r="C447" s="215">
        <v>5.7</v>
      </c>
      <c r="D447" s="215">
        <v>6.7700000000000005</v>
      </c>
      <c r="E447" s="218">
        <v>11.3</v>
      </c>
      <c r="F447" s="232">
        <f t="array" ref="F447">MMULT(MMULT(C447:E447-$C$48:$E$48,$B$435:$D$437),TRANSPOSE(C447:E447-$C$48:$E$48))</f>
        <v>3.6952743905371923</v>
      </c>
      <c r="G447" s="232">
        <f t="array" ref="G447">MMULT(MMULT(C447:E447-$C$49:$E$49,$B$435:$D$437),TRANSPOSE(C447:E447-$C$49:$E$49))</f>
        <v>3.6372499367566031</v>
      </c>
      <c r="H447" s="232">
        <f t="array" ref="H447">MMULT(MMULT(C447:E447-$C$50:$E$50,$B$435:$D$437),TRANSPOSE(C447:E447-$C$50:$E$50))</f>
        <v>14.493069914525172</v>
      </c>
      <c r="I447" s="232">
        <f t="shared" si="6"/>
        <v>5.3349991706945277</v>
      </c>
      <c r="J447" s="232">
        <f t="shared" si="7"/>
        <v>5.2769747169139389</v>
      </c>
      <c r="K447" s="232">
        <f t="shared" si="8"/>
        <v>16.132794694682506</v>
      </c>
      <c r="L447" s="68">
        <f t="shared" si="9"/>
        <v>0</v>
      </c>
      <c r="M447" s="169">
        <f t="shared" si="10"/>
        <v>1</v>
      </c>
      <c r="N447" s="8">
        <f t="shared" si="11"/>
        <v>0</v>
      </c>
    </row>
    <row r="448" spans="2:14">
      <c r="B448" s="213" t="s">
        <v>988</v>
      </c>
      <c r="C448" s="216">
        <v>7.36</v>
      </c>
      <c r="D448" s="216">
        <v>7.8199999999999994</v>
      </c>
      <c r="E448" s="219">
        <v>9.66</v>
      </c>
      <c r="F448" s="233">
        <f t="array" ref="F448">MMULT(MMULT(C448:E448-$C$48:$E$48,$B$435:$D$437),TRANSPOSE(C448:E448-$C$48:$E$48))</f>
        <v>4.5073290335465304</v>
      </c>
      <c r="G448" s="233">
        <f t="array" ref="G448">MMULT(MMULT(C448:E448-$C$49:$E$49,$B$435:$D$437),TRANSPOSE(C448:E448-$C$49:$E$49))</f>
        <v>6.2803246598763742</v>
      </c>
      <c r="H448" s="233">
        <f t="array" ref="H448">MMULT(MMULT(C448:E448-$C$50:$E$50,$B$435:$D$437),TRANSPOSE(C448:E448-$C$50:$E$50))</f>
        <v>1.9830198018673681</v>
      </c>
      <c r="I448" s="233">
        <f t="shared" si="6"/>
        <v>6.1470538137038657</v>
      </c>
      <c r="J448" s="233">
        <f t="shared" si="7"/>
        <v>7.9200494400337096</v>
      </c>
      <c r="K448" s="233">
        <f t="shared" si="8"/>
        <v>3.6227445820247031</v>
      </c>
      <c r="L448" s="69">
        <f t="shared" si="9"/>
        <v>0</v>
      </c>
      <c r="M448" s="171">
        <f t="shared" si="10"/>
        <v>0</v>
      </c>
      <c r="N448" s="8">
        <f t="shared" si="11"/>
        <v>1</v>
      </c>
    </row>
    <row r="449" spans="2:14">
      <c r="B449" s="94" t="s">
        <v>989</v>
      </c>
      <c r="C449" s="214">
        <v>7.42</v>
      </c>
      <c r="D449" s="214">
        <v>9.24</v>
      </c>
      <c r="E449" s="217">
        <v>12.1</v>
      </c>
      <c r="F449" s="231">
        <f t="array" ref="F449">MMULT(MMULT(C449:E449-$C$48:$E$48,$B$435:$D$437),TRANSPOSE(C449:E449-$C$48:$E$48))</f>
        <v>8.4460433287489209</v>
      </c>
      <c r="G449" s="231">
        <f t="array" ref="G449">MMULT(MMULT(C449:E449-$C$49:$E$49,$B$435:$D$437),TRANSPOSE(C449:E449-$C$49:$E$49))</f>
        <v>2.9096486208432824</v>
      </c>
      <c r="H449" s="231">
        <f t="array" ref="H449">MMULT(MMULT(C449:E449-$C$50:$E$50,$B$435:$D$437),TRANSPOSE(C449:E449-$C$50:$E$50))</f>
        <v>9.0875769965526398</v>
      </c>
      <c r="I449" s="231">
        <f t="shared" si="6"/>
        <v>10.085768108906256</v>
      </c>
      <c r="J449" s="231">
        <f t="shared" si="7"/>
        <v>4.5493734010006177</v>
      </c>
      <c r="K449" s="231">
        <f t="shared" si="8"/>
        <v>10.727301776709975</v>
      </c>
      <c r="L449" s="170">
        <f t="shared" si="9"/>
        <v>0</v>
      </c>
      <c r="M449" s="67">
        <f t="shared" si="10"/>
        <v>1</v>
      </c>
      <c r="N449" s="169">
        <f t="shared" si="11"/>
        <v>0</v>
      </c>
    </row>
    <row r="450" spans="2:14">
      <c r="B450" s="212" t="s">
        <v>989</v>
      </c>
      <c r="C450" s="215">
        <v>6.18</v>
      </c>
      <c r="D450" s="215">
        <v>9.67</v>
      </c>
      <c r="E450" s="218">
        <v>13.1</v>
      </c>
      <c r="F450" s="232">
        <f t="array" ref="F450">MMULT(MMULT(C450:E450-$C$48:$E$48,$B$435:$D$437),TRANSPOSE(C450:E450-$C$48:$E$48))</f>
        <v>12.539682817134729</v>
      </c>
      <c r="G450" s="232">
        <f t="array" ref="G450">MMULT(MMULT(C450:E450-$C$49:$E$49,$B$435:$D$437),TRANSPOSE(C450:E450-$C$49:$E$49))</f>
        <v>3.0332599066161023</v>
      </c>
      <c r="H450" s="232">
        <f t="array" ref="H450">MMULT(MMULT(C450:E450-$C$50:$E$50,$B$435:$D$437),TRANSPOSE(C450:E450-$C$50:$E$50))</f>
        <v>16.102840467575813</v>
      </c>
      <c r="I450" s="232">
        <f t="shared" si="6"/>
        <v>14.179407597292064</v>
      </c>
      <c r="J450" s="232">
        <f t="shared" si="7"/>
        <v>4.6729846867734377</v>
      </c>
      <c r="K450" s="232">
        <f t="shared" si="8"/>
        <v>17.742565247733147</v>
      </c>
      <c r="L450" s="65">
        <f t="shared" si="9"/>
        <v>0</v>
      </c>
      <c r="M450" s="68">
        <f t="shared" si="10"/>
        <v>1</v>
      </c>
      <c r="N450" s="169">
        <f t="shared" si="11"/>
        <v>0</v>
      </c>
    </row>
    <row r="451" spans="2:14">
      <c r="B451" s="212" t="s">
        <v>989</v>
      </c>
      <c r="C451" s="215">
        <v>5.87</v>
      </c>
      <c r="D451" s="215">
        <v>7.42</v>
      </c>
      <c r="E451" s="218">
        <v>9.2200000000000006</v>
      </c>
      <c r="F451" s="232">
        <f t="array" ref="F451">MMULT(MMULT(C451:E451-$C$48:$E$48,$B$435:$D$437),TRANSPOSE(C451:E451-$C$48:$E$48))</f>
        <v>2.1262299048035946</v>
      </c>
      <c r="G451" s="232">
        <f t="array" ref="G451">MMULT(MMULT(C451:E451-$C$49:$E$49,$B$435:$D$437),TRANSPOSE(C451:E451-$C$49:$E$49))</f>
        <v>3.9950759857372775</v>
      </c>
      <c r="H451" s="232">
        <f t="array" ref="H451">MMULT(MMULT(C451:E451-$C$50:$E$50,$B$435:$D$437),TRANSPOSE(C451:E451-$C$50:$E$50))</f>
        <v>0.7614930536565081</v>
      </c>
      <c r="I451" s="232">
        <f t="shared" si="6"/>
        <v>3.76595468496093</v>
      </c>
      <c r="J451" s="232">
        <f t="shared" si="7"/>
        <v>5.6348007658946129</v>
      </c>
      <c r="K451" s="232">
        <f t="shared" si="8"/>
        <v>2.4012178338138428</v>
      </c>
      <c r="L451" s="65">
        <f t="shared" si="9"/>
        <v>0</v>
      </c>
      <c r="M451" s="68">
        <f t="shared" si="10"/>
        <v>0</v>
      </c>
      <c r="N451" s="169">
        <f t="shared" si="11"/>
        <v>1</v>
      </c>
    </row>
    <row r="452" spans="2:14">
      <c r="B452" s="212" t="s">
        <v>989</v>
      </c>
      <c r="C452" s="215">
        <v>5.39</v>
      </c>
      <c r="D452" s="215">
        <v>7.15</v>
      </c>
      <c r="E452" s="218">
        <v>11.34</v>
      </c>
      <c r="F452" s="232">
        <f t="array" ref="F452">MMULT(MMULT(C452:E452-$C$48:$E$48,$B$435:$D$437),TRANSPOSE(C452:E452-$C$48:$E$48))</f>
        <v>3.0760345483212816</v>
      </c>
      <c r="G452" s="232">
        <f t="array" ref="G452">MMULT(MMULT(C452:E452-$C$49:$E$49,$B$435:$D$437),TRANSPOSE(C452:E452-$C$49:$E$49))</f>
        <v>1.697041939143539</v>
      </c>
      <c r="H452" s="232">
        <f t="array" ref="H452">MMULT(MMULT(C452:E452-$C$50:$E$50,$B$435:$D$437),TRANSPOSE(C452:E452-$C$50:$E$50))</f>
        <v>12.352484703905169</v>
      </c>
      <c r="I452" s="232">
        <f t="shared" si="6"/>
        <v>4.715759328478617</v>
      </c>
      <c r="J452" s="232">
        <f t="shared" si="7"/>
        <v>3.3367667193008743</v>
      </c>
      <c r="K452" s="232">
        <f t="shared" si="8"/>
        <v>13.992209484062503</v>
      </c>
      <c r="L452" s="65">
        <f t="shared" si="9"/>
        <v>0</v>
      </c>
      <c r="M452" s="68">
        <f t="shared" si="10"/>
        <v>1</v>
      </c>
      <c r="N452" s="169">
        <f t="shared" si="11"/>
        <v>0</v>
      </c>
    </row>
    <row r="453" spans="2:14">
      <c r="B453" s="212" t="s">
        <v>989</v>
      </c>
      <c r="C453" s="215">
        <v>4.7699999999999996</v>
      </c>
      <c r="D453" s="215">
        <v>7.33</v>
      </c>
      <c r="E453" s="218">
        <v>11.1</v>
      </c>
      <c r="F453" s="232">
        <f t="array" ref="F453">MMULT(MMULT(C453:E453-$C$48:$E$48,$B$435:$D$437),TRANSPOSE(C453:E453-$C$48:$E$48))</f>
        <v>3.335653666201674</v>
      </c>
      <c r="G453" s="232">
        <f t="array" ref="G453">MMULT(MMULT(C453:E453-$C$49:$E$49,$B$435:$D$437),TRANSPOSE(C453:E453-$C$49:$E$49))</f>
        <v>1.2424445029002897</v>
      </c>
      <c r="H453" s="232">
        <f t="array" ref="H453">MMULT(MMULT(C453:E453-$C$50:$E$50,$B$435:$D$437),TRANSPOSE(C453:E453-$C$50:$E$50))</f>
        <v>11.119884658259309</v>
      </c>
      <c r="I453" s="232">
        <f t="shared" si="6"/>
        <v>4.9753784463590094</v>
      </c>
      <c r="J453" s="232">
        <f t="shared" si="7"/>
        <v>2.8821692830576251</v>
      </c>
      <c r="K453" s="232">
        <f t="shared" si="8"/>
        <v>12.759609438416643</v>
      </c>
      <c r="L453" s="65">
        <f t="shared" si="9"/>
        <v>0</v>
      </c>
      <c r="M453" s="68">
        <f t="shared" si="10"/>
        <v>1</v>
      </c>
      <c r="N453" s="169">
        <f t="shared" si="11"/>
        <v>0</v>
      </c>
    </row>
    <row r="454" spans="2:14">
      <c r="B454" s="213" t="s">
        <v>989</v>
      </c>
      <c r="C454" s="216">
        <v>4.9400000000000004</v>
      </c>
      <c r="D454" s="216">
        <v>7.96</v>
      </c>
      <c r="E454" s="219">
        <v>10.82</v>
      </c>
      <c r="F454" s="233">
        <f t="array" ref="F454">MMULT(MMULT(C454:E454-$C$48:$E$48,$B$435:$D$437),TRANSPOSE(C454:E454-$C$48:$E$48))</f>
        <v>4.009900164529749</v>
      </c>
      <c r="G454" s="233">
        <f t="array" ref="G454">MMULT(MMULT(C454:E454-$C$49:$E$49,$B$435:$D$437),TRANSPOSE(C454:E454-$C$49:$E$49))</f>
        <v>1.0089463529476843</v>
      </c>
      <c r="H454" s="233">
        <f t="array" ref="H454">MMULT(MMULT(C454:E454-$C$50:$E$50,$B$435:$D$437),TRANSPOSE(C454:E454-$C$50:$E$50))</f>
        <v>7.3409064691328245</v>
      </c>
      <c r="I454" s="233">
        <f t="shared" si="6"/>
        <v>5.6496249446870843</v>
      </c>
      <c r="J454" s="233">
        <f t="shared" si="7"/>
        <v>2.6486711331050197</v>
      </c>
      <c r="K454" s="233">
        <f t="shared" si="8"/>
        <v>8.980631249290159</v>
      </c>
      <c r="L454" s="65">
        <f t="shared" si="9"/>
        <v>0</v>
      </c>
      <c r="M454" s="69">
        <f t="shared" si="10"/>
        <v>1</v>
      </c>
      <c r="N454" s="171">
        <f t="shared" si="11"/>
        <v>0</v>
      </c>
    </row>
    <row r="455" spans="2:14">
      <c r="B455" s="94" t="s">
        <v>990</v>
      </c>
      <c r="C455" s="214">
        <v>7.8717342995918216</v>
      </c>
      <c r="D455" s="214">
        <v>8.7272690908018653</v>
      </c>
      <c r="E455" s="217">
        <v>9.8472690908018645</v>
      </c>
      <c r="F455" s="231">
        <f t="array" ref="F455">MMULT(MMULT(C455:E455-$C$48:$E$48,$B$435:$D$437),TRANSPOSE(C455:E455-$C$48:$E$48))</f>
        <v>8.9427607148808512</v>
      </c>
      <c r="G455" s="231">
        <f t="array" ref="G455">MMULT(MMULT(C455:E455-$C$49:$E$49,$B$435:$D$437),TRANSPOSE(C455:E455-$C$49:$E$49))</f>
        <v>8.7465055404108121</v>
      </c>
      <c r="H455" s="231">
        <f t="array" ref="H455">MMULT(MMULT(C455:E455-$C$50:$E$50,$B$435:$D$437),TRANSPOSE(C455:E455-$C$50:$E$50))</f>
        <v>2.3193066695247913</v>
      </c>
      <c r="I455" s="231">
        <f t="shared" si="6"/>
        <v>10.582485495038187</v>
      </c>
      <c r="J455" s="231">
        <f t="shared" si="7"/>
        <v>10.386230320568147</v>
      </c>
      <c r="K455" s="231">
        <f t="shared" si="8"/>
        <v>3.9590314496821262</v>
      </c>
      <c r="L455" s="8">
        <f t="shared" si="9"/>
        <v>0</v>
      </c>
      <c r="M455" s="170">
        <f t="shared" si="10"/>
        <v>0</v>
      </c>
      <c r="N455" s="67">
        <f t="shared" si="11"/>
        <v>1</v>
      </c>
    </row>
    <row r="456" spans="2:14">
      <c r="B456" s="212" t="s">
        <v>990</v>
      </c>
      <c r="C456" s="215">
        <v>6.2103638228283717</v>
      </c>
      <c r="D456" s="215">
        <v>8.7758728924649994</v>
      </c>
      <c r="E456" s="218">
        <v>9.8958728924649986</v>
      </c>
      <c r="F456" s="232">
        <f t="array" ref="F456">MMULT(MMULT(C456:E456-$C$48:$E$48,$B$435:$D$437),TRANSPOSE(C456:E456-$C$48:$E$48))</f>
        <v>7.2807910381910066</v>
      </c>
      <c r="G456" s="232">
        <f t="array" ref="G456">MMULT(MMULT(C456:E456-$C$49:$E$49,$B$435:$D$437),TRANSPOSE(C456:E456-$C$49:$E$49))</f>
        <v>5.1208799000419916</v>
      </c>
      <c r="H456" s="232">
        <f t="array" ref="H456">MMULT(MMULT(C456:E456-$C$50:$E$50,$B$435:$D$437),TRANSPOSE(C456:E456-$C$50:$E$50))</f>
        <v>1.7539044884879003</v>
      </c>
      <c r="I456" s="232">
        <f t="shared" si="6"/>
        <v>8.920515818348342</v>
      </c>
      <c r="J456" s="232">
        <f t="shared" si="7"/>
        <v>6.7606046801993269</v>
      </c>
      <c r="K456" s="232">
        <f t="shared" si="8"/>
        <v>3.3936292686452352</v>
      </c>
      <c r="L456" s="8">
        <f t="shared" si="9"/>
        <v>0</v>
      </c>
      <c r="M456" s="65">
        <f t="shared" si="10"/>
        <v>0</v>
      </c>
      <c r="N456" s="68">
        <f t="shared" si="11"/>
        <v>1</v>
      </c>
    </row>
    <row r="457" spans="2:14">
      <c r="B457" s="212" t="s">
        <v>990</v>
      </c>
      <c r="C457" s="215">
        <v>7.3382852957125495</v>
      </c>
      <c r="D457" s="215">
        <v>6.5605476400346792</v>
      </c>
      <c r="E457" s="218">
        <v>7.6805476400346784</v>
      </c>
      <c r="F457" s="232">
        <f t="array" ref="F457">MMULT(MMULT(C457:E457-$C$48:$E$48,$B$435:$D$437),TRANSPOSE(C457:E457-$C$48:$E$48))</f>
        <v>8.6937637202766265</v>
      </c>
      <c r="G457" s="232">
        <f t="array" ref="G457">MMULT(MMULT(C457:E457-$C$49:$E$49,$B$435:$D$437),TRANSPOSE(C457:E457-$C$49:$E$49))</f>
        <v>16.687412560151319</v>
      </c>
      <c r="H457" s="232">
        <f t="array" ref="H457">MMULT(MMULT(C457:E457-$C$50:$E$50,$B$435:$D$437),TRANSPOSE(C457:E457-$C$50:$E$50))</f>
        <v>4.1207288910632807</v>
      </c>
      <c r="I457" s="232">
        <f t="shared" si="6"/>
        <v>10.333488500433962</v>
      </c>
      <c r="J457" s="232">
        <f t="shared" si="7"/>
        <v>18.327137340308653</v>
      </c>
      <c r="K457" s="232">
        <f t="shared" si="8"/>
        <v>5.7604536712206151</v>
      </c>
      <c r="L457" s="8">
        <f t="shared" si="9"/>
        <v>0</v>
      </c>
      <c r="M457" s="65">
        <f t="shared" si="10"/>
        <v>0</v>
      </c>
      <c r="N457" s="68">
        <f t="shared" si="11"/>
        <v>1</v>
      </c>
    </row>
    <row r="458" spans="2:14">
      <c r="B458" s="212" t="s">
        <v>990</v>
      </c>
      <c r="C458" s="215">
        <v>6.1242881881075153</v>
      </c>
      <c r="D458" s="215">
        <v>6.637712181553967</v>
      </c>
      <c r="E458" s="218">
        <v>7.7577121815539662</v>
      </c>
      <c r="F458" s="232">
        <f t="array" ref="F458">MMULT(MMULT(C458:E458-$C$48:$E$48,$B$435:$D$437),TRANSPOSE(C458:E458-$C$48:$E$48))</f>
        <v>5.1352973130811383</v>
      </c>
      <c r="G458" s="232">
        <f t="array" ref="G458">MMULT(MMULT(C458:E458-$C$49:$E$49,$B$435:$D$437),TRANSPOSE(C458:E458-$C$49:$E$49))</f>
        <v>11.525729212054143</v>
      </c>
      <c r="H458" s="232">
        <f t="array" ref="H458">MMULT(MMULT(C458:E458-$C$50:$E$50,$B$435:$D$437),TRANSPOSE(C458:E458-$C$50:$E$50))</f>
        <v>1.3311348596588082</v>
      </c>
      <c r="I458" s="232">
        <f t="shared" si="6"/>
        <v>6.7750220932384728</v>
      </c>
      <c r="J458" s="232">
        <f t="shared" si="7"/>
        <v>13.165453992211479</v>
      </c>
      <c r="K458" s="232">
        <f t="shared" si="8"/>
        <v>2.9708596398161431</v>
      </c>
      <c r="L458" s="8">
        <f t="shared" si="9"/>
        <v>0</v>
      </c>
      <c r="M458" s="65">
        <f t="shared" si="10"/>
        <v>0</v>
      </c>
      <c r="N458" s="68">
        <f t="shared" si="11"/>
        <v>1</v>
      </c>
    </row>
    <row r="459" spans="2:14">
      <c r="B459" s="212" t="s">
        <v>990</v>
      </c>
      <c r="C459" s="215">
        <v>5.6603305381258417</v>
      </c>
      <c r="D459" s="215">
        <v>7.2937550075112707</v>
      </c>
      <c r="E459" s="218">
        <v>8.4137550075112699</v>
      </c>
      <c r="F459" s="232">
        <f t="array" ref="F459">MMULT(MMULT(C459:E459-$C$48:$E$48,$B$435:$D$437),TRANSPOSE(C459:E459-$C$48:$E$48))</f>
        <v>4.7018372137791005</v>
      </c>
      <c r="G459" s="232">
        <f t="array" ref="G459">MMULT(MMULT(C459:E459-$C$49:$E$49,$B$435:$D$437),TRANSPOSE(C459:E459-$C$49:$E$49))</f>
        <v>7.9471956083104898</v>
      </c>
      <c r="H459" s="232">
        <f t="array" ref="H459">MMULT(MMULT(C459:E459-$C$50:$E$50,$B$435:$D$437),TRANSPOSE(C459:E459-$C$50:$E$50))</f>
        <v>0.70392414230764311</v>
      </c>
      <c r="I459" s="232">
        <f t="shared" si="6"/>
        <v>6.3415619939364358</v>
      </c>
      <c r="J459" s="232">
        <f t="shared" si="7"/>
        <v>9.5869203884678242</v>
      </c>
      <c r="K459" s="232">
        <f t="shared" si="8"/>
        <v>2.3436489224649781</v>
      </c>
      <c r="L459" s="8">
        <f t="shared" si="9"/>
        <v>0</v>
      </c>
      <c r="M459" s="65">
        <f t="shared" si="10"/>
        <v>0</v>
      </c>
      <c r="N459" s="68">
        <f t="shared" si="11"/>
        <v>1</v>
      </c>
    </row>
    <row r="460" spans="2:14">
      <c r="B460" s="213" t="s">
        <v>990</v>
      </c>
      <c r="C460" s="216">
        <v>5.5463355129630765</v>
      </c>
      <c r="D460" s="216">
        <v>8.5084313940498735</v>
      </c>
      <c r="E460" s="219">
        <v>9.6284313940498727</v>
      </c>
      <c r="F460" s="233">
        <f t="array" ref="F460">MMULT(MMULT(C460:E460-$C$48:$E$48,$B$435:$D$437),TRANSPOSE(C460:E460-$C$48:$E$48))</f>
        <v>7.5483268355537456</v>
      </c>
      <c r="G460" s="233">
        <f t="array" ref="G460">MMULT(MMULT(C460:E460-$C$49:$E$49,$B$435:$D$437),TRANSPOSE(C460:E460-$C$49:$E$49))</f>
        <v>5.7630145821788865</v>
      </c>
      <c r="H460" s="233">
        <f t="array" ref="H460">MMULT(MMULT(C460:E460-$C$50:$E$50,$B$435:$D$437),TRANSPOSE(C460:E460-$C$50:$E$50))</f>
        <v>2.6829693112110578</v>
      </c>
      <c r="I460" s="233">
        <f t="shared" si="6"/>
        <v>9.1880516157110801</v>
      </c>
      <c r="J460" s="233">
        <f t="shared" si="7"/>
        <v>7.4027393623362219</v>
      </c>
      <c r="K460" s="233">
        <f t="shared" si="8"/>
        <v>4.3226940913683922</v>
      </c>
      <c r="L460" s="8">
        <f t="shared" si="9"/>
        <v>0</v>
      </c>
      <c r="M460" s="65">
        <f t="shared" si="10"/>
        <v>0</v>
      </c>
      <c r="N460" s="69">
        <f t="shared" si="11"/>
        <v>1</v>
      </c>
    </row>
    <row r="461" spans="2:14">
      <c r="F461" s="9" t="s">
        <v>1127</v>
      </c>
    </row>
    <row r="462" spans="2:14">
      <c r="F462" s="9" t="s">
        <v>1128</v>
      </c>
    </row>
    <row r="463" spans="2:14">
      <c r="F463" s="9" t="s">
        <v>1129</v>
      </c>
    </row>
    <row r="467" spans="1:13">
      <c r="A467" s="24" t="s">
        <v>1132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</row>
    <row r="470" spans="1:13">
      <c r="C470" s="227" t="s">
        <v>1115</v>
      </c>
      <c r="D470" s="227"/>
      <c r="E470" s="227"/>
    </row>
    <row r="471" spans="1:13">
      <c r="B471" s="227" t="s">
        <v>1116</v>
      </c>
      <c r="C471" s="6" t="s">
        <v>988</v>
      </c>
      <c r="D471" s="6" t="s">
        <v>989</v>
      </c>
      <c r="E471" s="6" t="s">
        <v>990</v>
      </c>
    </row>
    <row r="472" spans="1:13">
      <c r="B472" s="6" t="s">
        <v>988</v>
      </c>
      <c r="C472" s="8">
        <f>SUM(L443:L448)</f>
        <v>3</v>
      </c>
      <c r="D472" s="8">
        <f>SUM(M443:M448)</f>
        <v>1</v>
      </c>
      <c r="E472" s="8">
        <f>SUM(N443:N448)</f>
        <v>2</v>
      </c>
    </row>
    <row r="473" spans="1:13">
      <c r="B473" s="6" t="s">
        <v>989</v>
      </c>
      <c r="C473" s="8">
        <f>SUM(L449:L454)</f>
        <v>0</v>
      </c>
      <c r="D473" s="8">
        <f>SUM(M449:M454)</f>
        <v>5</v>
      </c>
      <c r="E473" s="8">
        <f>SUM(N449:N454)</f>
        <v>1</v>
      </c>
    </row>
    <row r="474" spans="1:13">
      <c r="B474" s="6" t="s">
        <v>990</v>
      </c>
      <c r="C474" s="8">
        <f>SUM(L455:L460)</f>
        <v>0</v>
      </c>
      <c r="D474" s="8">
        <f>SUM(M455:M460)</f>
        <v>0</v>
      </c>
      <c r="E474" s="8">
        <f>SUM(N455:N460)</f>
        <v>6</v>
      </c>
    </row>
    <row r="475" spans="1:13">
      <c r="C475" t="s">
        <v>1117</v>
      </c>
    </row>
    <row r="479" spans="1:13">
      <c r="A479" s="24" t="s">
        <v>1133</v>
      </c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</row>
    <row r="482" spans="2:17">
      <c r="B482" s="6" t="s">
        <v>1181</v>
      </c>
      <c r="C482" s="228" t="s">
        <v>1134</v>
      </c>
      <c r="D482" s="228"/>
      <c r="E482" s="228"/>
      <c r="F482" s="228"/>
      <c r="G482" s="228"/>
      <c r="H482" s="228"/>
    </row>
    <row r="483" spans="2:17">
      <c r="C483" s="228" t="s">
        <v>1180</v>
      </c>
      <c r="D483" s="228"/>
      <c r="E483" s="228"/>
      <c r="F483" s="228"/>
      <c r="G483" s="228"/>
      <c r="H483" s="228"/>
    </row>
    <row r="484" spans="2:17">
      <c r="C484" s="228" t="s">
        <v>1135</v>
      </c>
      <c r="D484" s="228"/>
      <c r="E484" s="228"/>
      <c r="F484" s="228"/>
      <c r="G484" s="228"/>
      <c r="H484" s="228"/>
    </row>
    <row r="485" spans="2:17">
      <c r="C485" s="228" t="s">
        <v>1136</v>
      </c>
      <c r="D485" s="228"/>
      <c r="E485" s="228"/>
      <c r="F485" s="228"/>
      <c r="G485" s="228"/>
      <c r="H485" s="228"/>
    </row>
    <row r="486" spans="2:17">
      <c r="C486" s="228"/>
      <c r="D486" s="228"/>
      <c r="E486" s="228"/>
      <c r="F486" s="228"/>
      <c r="G486" s="228"/>
      <c r="H486" s="228"/>
    </row>
    <row r="487" spans="2:17">
      <c r="C487" s="228" t="s">
        <v>1137</v>
      </c>
      <c r="D487" s="228"/>
      <c r="E487" s="228"/>
      <c r="F487" s="228"/>
      <c r="G487" s="228"/>
      <c r="H487" s="228"/>
    </row>
    <row r="488" spans="2:17">
      <c r="C488" s="228" t="s">
        <v>1138</v>
      </c>
      <c r="D488" s="228"/>
      <c r="E488" s="228"/>
      <c r="F488" s="228"/>
      <c r="G488" s="228"/>
      <c r="H488" s="228"/>
    </row>
    <row r="489" spans="2:17">
      <c r="C489" s="228"/>
      <c r="D489" s="228"/>
      <c r="E489" s="228"/>
      <c r="F489" s="228"/>
      <c r="G489" s="228"/>
      <c r="H489" s="228"/>
    </row>
    <row r="490" spans="2:17">
      <c r="C490" s="234" t="s">
        <v>1139</v>
      </c>
      <c r="D490" s="228"/>
      <c r="E490" s="228"/>
      <c r="F490" s="228"/>
      <c r="G490" s="228"/>
      <c r="H490" s="228"/>
    </row>
    <row r="491" spans="2:17">
      <c r="C491" s="234" t="s">
        <v>1140</v>
      </c>
      <c r="D491" s="228"/>
      <c r="E491" s="228"/>
      <c r="F491" s="228"/>
      <c r="G491" s="228"/>
      <c r="H491" s="228"/>
    </row>
    <row r="493" spans="2:17">
      <c r="B493" s="6" t="s">
        <v>1182</v>
      </c>
      <c r="C493" s="230" t="s">
        <v>1183</v>
      </c>
      <c r="D493" s="230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8"/>
    </row>
    <row r="494" spans="2:17">
      <c r="C494" s="237" t="s">
        <v>1187</v>
      </c>
      <c r="D494" s="230"/>
      <c r="E494" s="230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8"/>
    </row>
    <row r="495" spans="2:17">
      <c r="C495" s="230" t="s">
        <v>1184</v>
      </c>
      <c r="D495" s="230"/>
      <c r="E495" s="230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8"/>
    </row>
    <row r="496" spans="2:17">
      <c r="C496" s="230" t="s">
        <v>1185</v>
      </c>
      <c r="D496" s="230"/>
      <c r="E496" s="230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8"/>
    </row>
    <row r="497" spans="3:17">
      <c r="C497" s="230" t="s">
        <v>1186</v>
      </c>
      <c r="D497" s="230"/>
      <c r="E497" s="230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8"/>
    </row>
    <row r="498" spans="3:17">
      <c r="C498" s="230"/>
      <c r="D498" s="230"/>
      <c r="E498" s="230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8"/>
    </row>
    <row r="499" spans="3:17">
      <c r="C499" s="237" t="s">
        <v>1192</v>
      </c>
      <c r="D499" s="230"/>
      <c r="E499" s="230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8"/>
    </row>
    <row r="500" spans="3:17">
      <c r="C500" s="230" t="s">
        <v>1191</v>
      </c>
      <c r="D500" s="230"/>
      <c r="E500" s="230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8"/>
    </row>
    <row r="501" spans="3:17">
      <c r="C501" s="230" t="s">
        <v>1188</v>
      </c>
      <c r="D501" s="230"/>
      <c r="E501" s="230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8"/>
    </row>
    <row r="502" spans="3:17">
      <c r="C502" s="230" t="s">
        <v>1189</v>
      </c>
      <c r="D502" s="230"/>
      <c r="E502" s="230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8"/>
    </row>
    <row r="503" spans="3:17">
      <c r="C503" s="230" t="s">
        <v>1190</v>
      </c>
      <c r="D503" s="230"/>
      <c r="E503" s="230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8"/>
    </row>
    <row r="504" spans="3:17">
      <c r="C504" s="230"/>
      <c r="D504" s="230"/>
      <c r="E504" s="230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8"/>
    </row>
  </sheetData>
  <mergeCells count="21">
    <mergeCell ref="L441:N441"/>
    <mergeCell ref="C392:E392"/>
    <mergeCell ref="F392:H392"/>
    <mergeCell ref="B143:F143"/>
    <mergeCell ref="C170:D170"/>
    <mergeCell ref="C171:D171"/>
    <mergeCell ref="B213:B214"/>
    <mergeCell ref="C213:H213"/>
    <mergeCell ref="B322:B323"/>
    <mergeCell ref="C239:H239"/>
    <mergeCell ref="B256:B257"/>
    <mergeCell ref="C256:D256"/>
    <mergeCell ref="B369:B370"/>
    <mergeCell ref="E217:H217"/>
    <mergeCell ref="B239:B240"/>
    <mergeCell ref="I392:K392"/>
    <mergeCell ref="C441:E441"/>
    <mergeCell ref="F441:H441"/>
    <mergeCell ref="I441:K441"/>
    <mergeCell ref="C322:E322"/>
    <mergeCell ref="C369:E369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610305" r:id="rId4">
          <objectPr defaultSize="0" r:id="rId5">
            <anchor moveWithCells="1">
              <from>
                <xdr:col>1</xdr:col>
                <xdr:colOff>0</xdr:colOff>
                <xdr:row>277</xdr:row>
                <xdr:rowOff>0</xdr:rowOff>
              </from>
              <to>
                <xdr:col>7</xdr:col>
                <xdr:colOff>666750</xdr:colOff>
                <xdr:row>304</xdr:row>
                <xdr:rowOff>85725</xdr:rowOff>
              </to>
            </anchor>
          </objectPr>
        </oleObject>
      </mc:Choice>
      <mc:Fallback>
        <oleObject shapeId="61030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119"/>
  <sheetViews>
    <sheetView workbookViewId="0">
      <selection activeCell="C59" sqref="C59"/>
    </sheetView>
  </sheetViews>
  <sheetFormatPr baseColWidth="10" defaultRowHeight="12.75"/>
  <cols>
    <col min="2" max="2" width="18.42578125" bestFit="1" customWidth="1"/>
  </cols>
  <sheetData>
    <row r="1" spans="1:53" s="10" customFormat="1" ht="20.25">
      <c r="A1" s="10" t="s">
        <v>1193</v>
      </c>
      <c r="BA1" s="11"/>
    </row>
    <row r="4" spans="1:53" ht="15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53">
      <c r="A7" t="s">
        <v>1194</v>
      </c>
    </row>
    <row r="8" spans="1:53">
      <c r="A8" t="s">
        <v>1195</v>
      </c>
    </row>
    <row r="10" spans="1:53">
      <c r="B10" s="6" t="s">
        <v>987</v>
      </c>
    </row>
    <row r="11" spans="1:53">
      <c r="B11" s="6"/>
      <c r="C11" s="6" t="s">
        <v>533</v>
      </c>
      <c r="D11" s="6" t="s">
        <v>534</v>
      </c>
      <c r="E11" s="6" t="s">
        <v>611</v>
      </c>
    </row>
    <row r="12" spans="1:53">
      <c r="B12" s="94" t="s">
        <v>988</v>
      </c>
      <c r="C12" s="214">
        <v>4.45</v>
      </c>
      <c r="D12" s="214">
        <v>6.99</v>
      </c>
      <c r="E12" s="217">
        <v>8.6999999999999993</v>
      </c>
    </row>
    <row r="13" spans="1:53">
      <c r="B13" s="212" t="s">
        <v>988</v>
      </c>
      <c r="C13" s="215">
        <v>4.63</v>
      </c>
      <c r="D13" s="215">
        <v>5.13</v>
      </c>
      <c r="E13" s="218">
        <v>9.65</v>
      </c>
    </row>
    <row r="14" spans="1:53">
      <c r="B14" s="212" t="s">
        <v>988</v>
      </c>
      <c r="C14" s="215">
        <v>5.57</v>
      </c>
      <c r="D14" s="215">
        <v>6.66</v>
      </c>
      <c r="E14" s="218">
        <v>8.8000000000000007</v>
      </c>
    </row>
    <row r="15" spans="1:53">
      <c r="B15" s="212" t="s">
        <v>988</v>
      </c>
      <c r="C15" s="215">
        <v>4.97</v>
      </c>
      <c r="D15" s="215">
        <v>5.45</v>
      </c>
      <c r="E15" s="218">
        <v>8.94</v>
      </c>
    </row>
    <row r="16" spans="1:53">
      <c r="B16" s="212" t="s">
        <v>988</v>
      </c>
      <c r="C16" s="215">
        <v>5.7</v>
      </c>
      <c r="D16" s="215">
        <v>6.7700000000000005</v>
      </c>
      <c r="E16" s="218">
        <v>11.3</v>
      </c>
    </row>
    <row r="17" spans="2:5">
      <c r="B17" s="213" t="s">
        <v>988</v>
      </c>
      <c r="C17" s="216">
        <v>7.36</v>
      </c>
      <c r="D17" s="216">
        <v>7.8199999999999994</v>
      </c>
      <c r="E17" s="219">
        <v>9.66</v>
      </c>
    </row>
    <row r="18" spans="2:5">
      <c r="B18" s="94" t="s">
        <v>989</v>
      </c>
      <c r="C18" s="214">
        <v>7.42</v>
      </c>
      <c r="D18" s="214">
        <v>9.24</v>
      </c>
      <c r="E18" s="217">
        <v>12.1</v>
      </c>
    </row>
    <row r="19" spans="2:5">
      <c r="B19" s="212" t="s">
        <v>989</v>
      </c>
      <c r="C19" s="215">
        <v>6.18</v>
      </c>
      <c r="D19" s="215">
        <v>9.67</v>
      </c>
      <c r="E19" s="218">
        <v>13.1</v>
      </c>
    </row>
    <row r="20" spans="2:5">
      <c r="B20" s="212" t="s">
        <v>989</v>
      </c>
      <c r="C20" s="215">
        <v>5.87</v>
      </c>
      <c r="D20" s="215">
        <v>7.42</v>
      </c>
      <c r="E20" s="218">
        <v>9.2200000000000006</v>
      </c>
    </row>
    <row r="21" spans="2:5">
      <c r="B21" s="212" t="s">
        <v>989</v>
      </c>
      <c r="C21" s="215">
        <v>5.39</v>
      </c>
      <c r="D21" s="215">
        <v>7.15</v>
      </c>
      <c r="E21" s="218">
        <v>11.34</v>
      </c>
    </row>
    <row r="22" spans="2:5">
      <c r="B22" s="212" t="s">
        <v>989</v>
      </c>
      <c r="C22" s="215">
        <v>4.7699999999999996</v>
      </c>
      <c r="D22" s="215">
        <v>7.33</v>
      </c>
      <c r="E22" s="218">
        <v>11.1</v>
      </c>
    </row>
    <row r="23" spans="2:5">
      <c r="B23" s="213" t="s">
        <v>989</v>
      </c>
      <c r="C23" s="216">
        <v>4.9400000000000004</v>
      </c>
      <c r="D23" s="216">
        <v>7.96</v>
      </c>
      <c r="E23" s="219">
        <v>10.82</v>
      </c>
    </row>
    <row r="24" spans="2:5">
      <c r="B24" s="94" t="s">
        <v>990</v>
      </c>
      <c r="C24" s="214">
        <v>7.8717342995918216</v>
      </c>
      <c r="D24" s="214">
        <v>8.7272690908018653</v>
      </c>
      <c r="E24" s="217">
        <v>9.8472690908018645</v>
      </c>
    </row>
    <row r="25" spans="2:5">
      <c r="B25" s="212" t="s">
        <v>990</v>
      </c>
      <c r="C25" s="215">
        <v>6.2103638228283717</v>
      </c>
      <c r="D25" s="215">
        <v>8.7758728924649994</v>
      </c>
      <c r="E25" s="218">
        <v>9.8958728924649986</v>
      </c>
    </row>
    <row r="26" spans="2:5">
      <c r="B26" s="212" t="s">
        <v>990</v>
      </c>
      <c r="C26" s="215">
        <v>7.3382852957125495</v>
      </c>
      <c r="D26" s="215">
        <v>6.5605476400346792</v>
      </c>
      <c r="E26" s="218">
        <v>7.6805476400346784</v>
      </c>
    </row>
    <row r="27" spans="2:5">
      <c r="B27" s="212" t="s">
        <v>990</v>
      </c>
      <c r="C27" s="215">
        <v>6.1242881881075153</v>
      </c>
      <c r="D27" s="215">
        <v>6.637712181553967</v>
      </c>
      <c r="E27" s="218">
        <v>7.7577121815539662</v>
      </c>
    </row>
    <row r="28" spans="2:5">
      <c r="B28" s="212" t="s">
        <v>990</v>
      </c>
      <c r="C28" s="215">
        <v>5.6603305381258417</v>
      </c>
      <c r="D28" s="215">
        <v>7.2937550075112707</v>
      </c>
      <c r="E28" s="218">
        <v>8.4137550075112699</v>
      </c>
    </row>
    <row r="29" spans="2:5">
      <c r="B29" s="213" t="s">
        <v>990</v>
      </c>
      <c r="C29" s="216">
        <v>5.5463355129630765</v>
      </c>
      <c r="D29" s="216">
        <v>8.5084313940498735</v>
      </c>
      <c r="E29" s="219">
        <v>9.6284313940498727</v>
      </c>
    </row>
    <row r="31" spans="2:5">
      <c r="B31" s="6" t="s">
        <v>999</v>
      </c>
      <c r="C31" s="239">
        <f>AVERAGE(C12:C17)</f>
        <v>5.4466666666666663</v>
      </c>
      <c r="D31" s="239">
        <f>AVERAGE(D12:D17)</f>
        <v>6.47</v>
      </c>
      <c r="E31" s="239">
        <f>AVERAGE(E12:E17)</f>
        <v>9.5083333333333329</v>
      </c>
    </row>
    <row r="32" spans="2:5">
      <c r="B32" s="6" t="s">
        <v>1000</v>
      </c>
      <c r="C32" s="239">
        <f>AVERAGE(C18:C23)</f>
        <v>5.7616666666666667</v>
      </c>
      <c r="D32" s="239">
        <f>AVERAGE(D18:D23)</f>
        <v>8.1283333333333321</v>
      </c>
      <c r="E32" s="239">
        <f>AVERAGE(E18:E23)</f>
        <v>11.280000000000001</v>
      </c>
    </row>
    <row r="33" spans="1:13">
      <c r="B33" s="6" t="s">
        <v>1001</v>
      </c>
      <c r="C33" s="239">
        <f>AVERAGE(C24:C29)</f>
        <v>6.4585562762215289</v>
      </c>
      <c r="D33" s="239">
        <f>AVERAGE(D24:D29)</f>
        <v>7.7505980344027749</v>
      </c>
      <c r="E33" s="239">
        <f>AVERAGE(E24:E29)</f>
        <v>8.8705980344027751</v>
      </c>
    </row>
    <row r="35" spans="1:13">
      <c r="B35" s="6" t="s">
        <v>1006</v>
      </c>
    </row>
    <row r="36" spans="1:13">
      <c r="B36" s="172">
        <v>0.98499050924460785</v>
      </c>
      <c r="C36" s="172">
        <v>0.50494627690132654</v>
      </c>
      <c r="D36" s="172">
        <v>0.27826294356799131</v>
      </c>
    </row>
    <row r="37" spans="1:13">
      <c r="B37" s="172">
        <v>0.50494627690132654</v>
      </c>
      <c r="C37" s="172">
        <v>1.0823273356757264</v>
      </c>
      <c r="D37" s="172">
        <v>0.75726844678682714</v>
      </c>
      <c r="E37" s="6" t="s">
        <v>274</v>
      </c>
    </row>
    <row r="38" spans="1:13">
      <c r="B38" s="172">
        <v>0.27826294356799131</v>
      </c>
      <c r="C38" s="172">
        <v>0.75726844678682714</v>
      </c>
      <c r="D38" s="172">
        <v>1.2433406690090352</v>
      </c>
      <c r="E38" s="172">
        <v>0.5726389891684821</v>
      </c>
    </row>
    <row r="39" spans="1:13">
      <c r="B39" s="235" t="s">
        <v>1208</v>
      </c>
      <c r="C39" s="235"/>
      <c r="D39" s="235"/>
      <c r="E39" s="235"/>
    </row>
    <row r="43" spans="1:13" ht="15.75">
      <c r="A43" s="15" t="s">
        <v>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6" spans="1:13">
      <c r="A46" s="235" t="s">
        <v>1217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</row>
    <row r="47" spans="1:13">
      <c r="A47" s="24" t="s">
        <v>1214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50" spans="2:11">
      <c r="B50" s="6" t="s">
        <v>692</v>
      </c>
      <c r="C50" s="8">
        <v>0.05</v>
      </c>
      <c r="D50" s="235" t="s">
        <v>1203</v>
      </c>
      <c r="E50" s="235"/>
    </row>
    <row r="52" spans="2:11">
      <c r="B52" s="6" t="s">
        <v>1197</v>
      </c>
      <c r="C52" s="8">
        <f>COUNTA(C11:E11)</f>
        <v>3</v>
      </c>
      <c r="D52" s="235" t="s">
        <v>1204</v>
      </c>
      <c r="E52" s="235"/>
    </row>
    <row r="53" spans="2:11">
      <c r="B53" s="6" t="s">
        <v>1198</v>
      </c>
      <c r="C53" s="8">
        <f>COUNTA(B12:B17)+COUNTA(B18:B23)-C52-1</f>
        <v>8</v>
      </c>
      <c r="D53" s="235" t="s">
        <v>1205</v>
      </c>
      <c r="E53" s="235"/>
      <c r="F53" s="235"/>
      <c r="G53" s="235"/>
      <c r="H53" s="235"/>
      <c r="I53" s="235"/>
    </row>
    <row r="55" spans="2:11">
      <c r="B55" s="6" t="s">
        <v>1199</v>
      </c>
      <c r="C55" s="8">
        <f>((COUNTA(B12:B17)+COUNTA(B18:B23)-2)*C52)/C53</f>
        <v>3.75</v>
      </c>
      <c r="D55" s="235" t="s">
        <v>1206</v>
      </c>
      <c r="E55" s="235"/>
      <c r="F55" s="235"/>
      <c r="G55" s="235"/>
      <c r="H55" s="235"/>
      <c r="I55" s="235"/>
      <c r="J55" s="235"/>
      <c r="K55" s="235"/>
    </row>
    <row r="57" spans="2:11">
      <c r="B57" s="6" t="s">
        <v>1200</v>
      </c>
      <c r="C57" s="8">
        <f t="array" ref="C57">C55*_xlfn.F.INV(1-C50,C52,C53)</f>
        <v>15.248177067566852</v>
      </c>
      <c r="D57" s="235" t="s">
        <v>1207</v>
      </c>
      <c r="E57" s="235"/>
      <c r="F57" s="235"/>
      <c r="G57" s="235"/>
      <c r="H57" s="235"/>
      <c r="I57" s="235"/>
      <c r="J57" s="235"/>
      <c r="K57" s="235"/>
    </row>
    <row r="59" spans="2:11">
      <c r="B59" s="6" t="s">
        <v>1196</v>
      </c>
      <c r="C59" s="8">
        <f t="array" ref="C59">MMULT(MMULT(C31:E31-C32:E32,MINVERSE((1/COUNTA(B12:B17)+1/COUNTA(B18:B23))*B36:D38)),TRANSPOSE(C31:E31-C32:E32))</f>
        <v>9.8235635607758827</v>
      </c>
    </row>
    <row r="61" spans="2:11">
      <c r="B61" s="6" t="s">
        <v>1202</v>
      </c>
      <c r="C61" s="8" t="str">
        <f>IF(C59&gt;C57,"Signifikant","Nicht Signifikant")</f>
        <v>Nicht Signifikant</v>
      </c>
    </row>
    <row r="63" spans="2:11">
      <c r="B63" s="6" t="s">
        <v>1201</v>
      </c>
      <c r="C63" s="8">
        <f>C59/C55</f>
        <v>2.6196169495402355</v>
      </c>
    </row>
    <row r="64" spans="2:11">
      <c r="B64" s="6" t="s">
        <v>1210</v>
      </c>
      <c r="C64" s="8">
        <f>_xlfn.F.DIST.RT(C63,C52,C53)</f>
        <v>0.1227938481392617</v>
      </c>
      <c r="D64" s="235" t="s">
        <v>1209</v>
      </c>
      <c r="E64" s="235"/>
    </row>
    <row r="66" spans="1:13">
      <c r="B66" s="125" t="s">
        <v>638</v>
      </c>
      <c r="C66" s="8" t="s">
        <v>1211</v>
      </c>
      <c r="D66" s="8"/>
      <c r="E66" s="8"/>
      <c r="F66" s="8"/>
      <c r="G66" s="8"/>
      <c r="H66" s="8"/>
      <c r="I66" s="8"/>
    </row>
    <row r="67" spans="1:13">
      <c r="C67" s="8"/>
      <c r="D67" s="8"/>
      <c r="E67" s="8"/>
      <c r="F67" s="8"/>
      <c r="G67" s="8"/>
      <c r="H67" s="8"/>
      <c r="I67" s="8"/>
    </row>
    <row r="68" spans="1:13">
      <c r="C68" s="8"/>
      <c r="D68" s="8"/>
      <c r="E68" s="8"/>
      <c r="F68" s="8"/>
      <c r="G68" s="8"/>
      <c r="H68" s="8"/>
      <c r="I68" s="8"/>
    </row>
    <row r="72" spans="1:13">
      <c r="A72" s="24" t="s">
        <v>1213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5" spans="1:13">
      <c r="B75" s="6" t="s">
        <v>692</v>
      </c>
      <c r="C75" s="8">
        <v>0.05</v>
      </c>
      <c r="D75" s="235" t="s">
        <v>1203</v>
      </c>
      <c r="E75" s="235"/>
    </row>
    <row r="77" spans="1:13">
      <c r="B77" s="6" t="s">
        <v>1197</v>
      </c>
      <c r="C77" s="8">
        <f>COUNTA(C11:E11)</f>
        <v>3</v>
      </c>
      <c r="D77" s="235" t="s">
        <v>1204</v>
      </c>
      <c r="E77" s="235"/>
    </row>
    <row r="78" spans="1:13">
      <c r="B78" s="6" t="s">
        <v>1198</v>
      </c>
      <c r="C78" s="8">
        <f>COUNTA(B12:B17)+COUNTA(B24:B29)-C77-1</f>
        <v>8</v>
      </c>
      <c r="D78" s="235" t="s">
        <v>1205</v>
      </c>
      <c r="E78" s="235"/>
      <c r="F78" s="235"/>
      <c r="G78" s="235"/>
      <c r="H78" s="235"/>
      <c r="I78" s="235"/>
    </row>
    <row r="80" spans="1:13">
      <c r="B80" s="6" t="s">
        <v>1199</v>
      </c>
      <c r="C80" s="8">
        <f>((COUNTA(B12:B17)+COUNTA(B24:B29)-2)*C77)/C78</f>
        <v>3.75</v>
      </c>
      <c r="D80" s="235" t="s">
        <v>1206</v>
      </c>
      <c r="E80" s="235"/>
      <c r="F80" s="235"/>
      <c r="G80" s="235"/>
      <c r="H80" s="235"/>
      <c r="I80" s="235"/>
      <c r="J80" s="235"/>
      <c r="K80" s="235"/>
    </row>
    <row r="82" spans="2:11">
      <c r="B82" s="6" t="s">
        <v>1200</v>
      </c>
      <c r="C82" s="8">
        <f>C80*_xlfn.F.INV(1-C75,C77,C78)</f>
        <v>15.248177067566852</v>
      </c>
      <c r="D82" s="235" t="s">
        <v>1207</v>
      </c>
      <c r="E82" s="235"/>
      <c r="F82" s="235"/>
      <c r="G82" s="235"/>
      <c r="H82" s="235"/>
      <c r="I82" s="235"/>
      <c r="J82" s="235"/>
      <c r="K82" s="235"/>
    </row>
    <row r="84" spans="2:11">
      <c r="B84" s="6" t="s">
        <v>1196</v>
      </c>
      <c r="C84" s="8">
        <f t="array" ref="C84">MMULT(MMULT(C31:E31-C33:E33,MINVERSE((1/COUNTA(B12:B17)+1/COUNTA(B24:B29))*B36:D38)),TRANSPOSE(C31:E31-C33:E33))</f>
        <v>14.695404236754477</v>
      </c>
    </row>
    <row r="86" spans="2:11">
      <c r="B86" s="6" t="s">
        <v>1202</v>
      </c>
      <c r="C86" s="8" t="str">
        <f>IF(C84&gt;C82,"Signifikant","Nicht Signifikant")</f>
        <v>Nicht Signifikant</v>
      </c>
    </row>
    <row r="88" spans="2:11">
      <c r="B88" s="6" t="s">
        <v>1201</v>
      </c>
      <c r="C88" s="8">
        <f>C84/C80</f>
        <v>3.9187744631345272</v>
      </c>
    </row>
    <row r="89" spans="2:11">
      <c r="B89" s="6" t="s">
        <v>1210</v>
      </c>
      <c r="C89" s="8">
        <f>_xlfn.F.DIST.RT(C88,C77,C78)</f>
        <v>5.4341105622585324E-2</v>
      </c>
      <c r="D89" s="235" t="s">
        <v>1209</v>
      </c>
      <c r="E89" s="235"/>
    </row>
    <row r="91" spans="2:11">
      <c r="B91" s="125" t="s">
        <v>638</v>
      </c>
      <c r="C91" s="8" t="s">
        <v>1211</v>
      </c>
      <c r="D91" s="8"/>
      <c r="E91" s="8"/>
      <c r="F91" s="8"/>
      <c r="G91" s="8"/>
      <c r="H91" s="8"/>
      <c r="I91" s="8"/>
    </row>
    <row r="92" spans="2:11">
      <c r="C92" s="8"/>
      <c r="D92" s="8"/>
      <c r="E92" s="8"/>
      <c r="F92" s="8"/>
      <c r="G92" s="8"/>
      <c r="H92" s="8"/>
      <c r="I92" s="8"/>
    </row>
    <row r="93" spans="2:11">
      <c r="C93" s="8"/>
      <c r="D93" s="8"/>
      <c r="E93" s="8"/>
      <c r="F93" s="8"/>
      <c r="G93" s="8"/>
      <c r="H93" s="8"/>
      <c r="I93" s="8"/>
    </row>
    <row r="98" spans="1:13">
      <c r="A98" s="24" t="s">
        <v>1212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101" spans="1:13">
      <c r="B101" s="6" t="s">
        <v>692</v>
      </c>
      <c r="C101" s="8">
        <v>0.05</v>
      </c>
      <c r="D101" s="235" t="s">
        <v>1203</v>
      </c>
      <c r="E101" s="235"/>
    </row>
    <row r="103" spans="1:13">
      <c r="B103" s="6" t="s">
        <v>1197</v>
      </c>
      <c r="C103" s="8">
        <f>COUNTA(C37:E37)</f>
        <v>3</v>
      </c>
      <c r="D103" s="235" t="s">
        <v>1204</v>
      </c>
      <c r="E103" s="235"/>
    </row>
    <row r="104" spans="1:13">
      <c r="B104" s="6" t="s">
        <v>1198</v>
      </c>
      <c r="C104" s="8">
        <f>COUNTA(B18:B23)+COUNTA(B24:B29)-C103-1</f>
        <v>8</v>
      </c>
      <c r="D104" s="235" t="s">
        <v>1205</v>
      </c>
      <c r="E104" s="235"/>
      <c r="F104" s="235"/>
      <c r="G104" s="235"/>
      <c r="H104" s="235"/>
      <c r="I104" s="235"/>
    </row>
    <row r="106" spans="1:13">
      <c r="B106" s="6" t="s">
        <v>1199</v>
      </c>
      <c r="C106" s="8">
        <f>((COUNTA(B18:B23)+COUNTA(B24:B29)-2)*C103)/C104</f>
        <v>3.75</v>
      </c>
      <c r="D106" s="235" t="s">
        <v>1206</v>
      </c>
      <c r="E106" s="235"/>
      <c r="F106" s="235"/>
      <c r="G106" s="235"/>
      <c r="H106" s="235"/>
      <c r="I106" s="235"/>
      <c r="J106" s="235"/>
      <c r="K106" s="235"/>
    </row>
    <row r="108" spans="1:13">
      <c r="B108" s="6" t="s">
        <v>1200</v>
      </c>
      <c r="C108" s="8">
        <f>C106*_xlfn.F.INV(1-C101,C103,C104)</f>
        <v>15.248177067566852</v>
      </c>
      <c r="D108" s="235" t="s">
        <v>1207</v>
      </c>
      <c r="E108" s="235"/>
      <c r="F108" s="235"/>
      <c r="G108" s="235"/>
      <c r="H108" s="235"/>
      <c r="I108" s="235"/>
      <c r="J108" s="235"/>
      <c r="K108" s="235"/>
    </row>
    <row r="110" spans="1:13">
      <c r="B110" s="6" t="s">
        <v>1196</v>
      </c>
      <c r="C110" s="8">
        <f t="array" ref="C110">MMULT(MMULT(C32:E32-C33:E33,MINVERSE((1/COUNTA(B18:B23)+1/COUNTA(B24:B29))*B36:D38)),TRANSPOSE(C32:E32-C33:E33))</f>
        <v>21.439384520447078</v>
      </c>
    </row>
    <row r="112" spans="1:13">
      <c r="B112" s="6" t="s">
        <v>1202</v>
      </c>
      <c r="C112" s="8" t="str">
        <f>IF(C110&gt;C108,"Signifikant","Nicht Signifikant")</f>
        <v>Signifikant</v>
      </c>
    </row>
    <row r="114" spans="2:9">
      <c r="B114" s="6" t="s">
        <v>1201</v>
      </c>
      <c r="C114" s="8">
        <f>C110/C106</f>
        <v>5.7171692054525538</v>
      </c>
    </row>
    <row r="115" spans="2:9">
      <c r="B115" s="6" t="s">
        <v>1210</v>
      </c>
      <c r="C115" s="8">
        <f>_xlfn.F.DIST.RT(C114,C103,C104)</f>
        <v>2.1736282222383305E-2</v>
      </c>
      <c r="D115" s="235" t="s">
        <v>1209</v>
      </c>
      <c r="E115" s="235"/>
    </row>
    <row r="117" spans="2:9">
      <c r="B117" s="125" t="s">
        <v>638</v>
      </c>
      <c r="C117" s="8" t="s">
        <v>1215</v>
      </c>
      <c r="D117" s="8"/>
      <c r="E117" s="8"/>
      <c r="F117" s="8"/>
      <c r="G117" s="8"/>
      <c r="H117" s="8"/>
      <c r="I117" s="8"/>
    </row>
    <row r="118" spans="2:9">
      <c r="C118" s="8"/>
      <c r="D118" s="8"/>
      <c r="E118" s="8"/>
      <c r="F118" s="8"/>
      <c r="G118" s="8"/>
      <c r="H118" s="8"/>
      <c r="I118" s="8"/>
    </row>
    <row r="119" spans="2:9">
      <c r="C119" s="8"/>
      <c r="D119" s="8"/>
      <c r="E119" s="8"/>
      <c r="F119" s="8"/>
      <c r="G119" s="8"/>
      <c r="H119" s="8"/>
      <c r="I119" s="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4</vt:i4>
      </vt:variant>
    </vt:vector>
  </HeadingPairs>
  <TitlesOfParts>
    <vt:vector size="25" baseType="lpstr">
      <vt:lpstr>Deckblatt</vt:lpstr>
      <vt:lpstr>MDS (02.11.17)</vt:lpstr>
      <vt:lpstr>LGS (13.11.2017)</vt:lpstr>
      <vt:lpstr>Matrixmultiplikation (10.11.17)</vt:lpstr>
      <vt:lpstr>Inner Product Matrix (10.11.17)</vt:lpstr>
      <vt:lpstr>Inverse Matrix (17.11.17)</vt:lpstr>
      <vt:lpstr>Determinante (17.11.17)</vt:lpstr>
      <vt:lpstr>Eigenwertanalyse (17.11.17</vt:lpstr>
      <vt:lpstr>Faktorenanalyse (24.11.17)</vt:lpstr>
      <vt:lpstr>Kreuzproduktmatrizen (24.11.17)</vt:lpstr>
      <vt:lpstr>Mahalanobis Distanz (08.12.17)</vt:lpstr>
      <vt:lpstr>Univariate NV Prüf. (08.12.17)</vt:lpstr>
      <vt:lpstr>Multivariat NV Prüf. (08.12.17)</vt:lpstr>
      <vt:lpstr>Min. Dis. Classifier (15.12.17)</vt:lpstr>
      <vt:lpstr>Bayes Classifier (23.12.17)</vt:lpstr>
      <vt:lpstr>Quadratic Clas. Rule (10.01.18)</vt:lpstr>
      <vt:lpstr>MaxLikelihoodRatio (11.01.18)</vt:lpstr>
      <vt:lpstr>Diskriminanzan. 1 (19.01.18)</vt:lpstr>
      <vt:lpstr>Diskriminanzan. 1.2 (19.01.18)</vt:lpstr>
      <vt:lpstr>Diskriminanzan. 2 (26.01.18)</vt:lpstr>
      <vt:lpstr>Hotelling's T (08.02.18)</vt:lpstr>
      <vt:lpstr>A_</vt:lpstr>
      <vt:lpstr>B_</vt:lpstr>
      <vt:lpstr>Cov_</vt:lpstr>
      <vt:lpstr>W_</vt:lpstr>
    </vt:vector>
  </TitlesOfParts>
  <Company>JGUM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Alm</cp:lastModifiedBy>
  <cp:lastPrinted>2018-01-27T10:49:12Z</cp:lastPrinted>
  <dcterms:created xsi:type="dcterms:W3CDTF">2009-05-22T16:43:02Z</dcterms:created>
  <dcterms:modified xsi:type="dcterms:W3CDTF">2019-04-23T10:46:19Z</dcterms:modified>
</cp:coreProperties>
</file>